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C:\Users\yajairas\Documents\Sierra Circuits Importrant Forms\"/>
    </mc:Choice>
  </mc:AlternateContent>
  <xr:revisionPtr revIDLastSave="0" documentId="8_{EB8A683C-0D41-4C6B-97BC-481F82DF0E1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5" l="1"/>
  <c r="S30" i="5" s="1"/>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X19" i="5"/>
  <c r="AB19" i="5"/>
  <c r="X20" i="5"/>
  <c r="AB20" i="5"/>
  <c r="X21" i="5"/>
  <c r="AB21" i="5"/>
  <c r="X22" i="5"/>
  <c r="AB22" i="5"/>
  <c r="X23" i="5"/>
  <c r="AB23" i="5"/>
  <c r="X24" i="5"/>
  <c r="AB24" i="5"/>
  <c r="X25" i="5"/>
  <c r="AB25" i="5"/>
  <c r="X26" i="5"/>
  <c r="AB26" i="5"/>
  <c r="X27" i="5"/>
  <c r="AB27" i="5"/>
  <c r="X12" i="5"/>
  <c r="AB12" i="5"/>
  <c r="X13" i="5"/>
  <c r="AB13" i="5"/>
  <c r="X14" i="5"/>
  <c r="AB14" i="5"/>
  <c r="X15" i="5"/>
  <c r="AB15" i="5"/>
  <c r="X16" i="5"/>
  <c r="AB16" i="5"/>
  <c r="X17" i="5"/>
  <c r="AB17" i="5"/>
  <c r="X18" i="5"/>
  <c r="AB18" i="5"/>
  <c r="X28" i="5"/>
  <c r="AB28" i="5"/>
  <c r="B29" i="5"/>
  <c r="T29" i="5" s="1"/>
  <c r="C29" i="5"/>
  <c r="V29" i="5" s="1"/>
  <c r="T30" i="5"/>
  <c r="S21" i="5"/>
  <c r="S17" i="5"/>
  <c r="T28" i="5"/>
  <c r="T24" i="5"/>
  <c r="S22" i="5"/>
  <c r="T21" i="5"/>
  <c r="S25" i="5"/>
  <c r="T25" i="5"/>
  <c r="S26" i="5"/>
  <c r="T23" i="5"/>
  <c r="T26" i="5"/>
  <c r="T12" i="5"/>
  <c r="S14" i="5"/>
  <c r="T13" i="5"/>
  <c r="S12" i="5"/>
  <c r="S27" i="5"/>
  <c r="T17" i="5"/>
  <c r="S13" i="5"/>
  <c r="S18" i="5"/>
  <c r="T15" i="5"/>
  <c r="T14" i="5"/>
  <c r="T22" i="5"/>
  <c r="T20" i="5"/>
  <c r="T16" i="5"/>
  <c r="S16" i="5"/>
  <c r="S15" i="5"/>
  <c r="S19" i="5"/>
  <c r="S28" i="5"/>
  <c r="T18" i="5"/>
  <c r="T19" i="5"/>
  <c r="S20" i="5"/>
  <c r="S23" i="5"/>
  <c r="S24" i="5"/>
  <c r="T27" i="5"/>
  <c r="AB29" i="5" l="1"/>
  <c r="S29" i="5"/>
  <c r="E29" i="5"/>
  <c r="X29" i="5" s="1"/>
  <c r="I29" i="5"/>
  <c r="F29" i="5"/>
  <c r="J29" i="5"/>
  <c r="R29" i="5"/>
  <c r="H29" i="5"/>
  <c r="G29" i="5"/>
  <c r="V30" i="5"/>
  <c r="AB30" i="5"/>
  <c r="S31" i="5"/>
  <c r="T31" i="5"/>
  <c r="R30" i="5" l="1"/>
  <c r="G30" i="5"/>
  <c r="H30" i="5"/>
  <c r="E30" i="5"/>
  <c r="X30" i="5" s="1"/>
  <c r="I30" i="5"/>
  <c r="F30" i="5"/>
  <c r="J30" i="5"/>
  <c r="V31" i="5"/>
  <c r="AB31" i="5"/>
  <c r="S32" i="5"/>
  <c r="T32" i="5"/>
  <c r="R31" i="5" l="1"/>
  <c r="G31" i="5"/>
  <c r="H31" i="5"/>
  <c r="E31" i="5"/>
  <c r="X31" i="5" s="1"/>
  <c r="I31" i="5"/>
  <c r="F31" i="5"/>
  <c r="J31" i="5"/>
  <c r="V32" i="5"/>
  <c r="AB32" i="5"/>
  <c r="S33" i="5"/>
  <c r="T33" i="5"/>
  <c r="R32" i="5" l="1"/>
  <c r="G32" i="5"/>
  <c r="H32" i="5"/>
  <c r="E32" i="5"/>
  <c r="X32" i="5" s="1"/>
  <c r="I32" i="5"/>
  <c r="F32" i="5"/>
  <c r="J32" i="5"/>
  <c r="V33" i="5"/>
  <c r="AB33" i="5"/>
  <c r="S34" i="5"/>
  <c r="T34" i="5"/>
  <c r="R33" i="5" l="1"/>
  <c r="G33" i="5"/>
  <c r="H33" i="5"/>
  <c r="E33" i="5"/>
  <c r="X33" i="5" s="1"/>
  <c r="I33" i="5"/>
  <c r="F33" i="5"/>
  <c r="J33" i="5"/>
  <c r="V34" i="5"/>
  <c r="AB34" i="5"/>
  <c r="S35" i="5"/>
  <c r="T35" i="5"/>
  <c r="R34" i="5" l="1"/>
  <c r="G34" i="5"/>
  <c r="H34" i="5"/>
  <c r="E34" i="5"/>
  <c r="X34" i="5" s="1"/>
  <c r="I34" i="5"/>
  <c r="F34" i="5"/>
  <c r="J34" i="5"/>
  <c r="V35" i="5"/>
  <c r="AB35" i="5"/>
  <c r="S36" i="5"/>
  <c r="T36" i="5"/>
  <c r="R35" i="5" l="1"/>
  <c r="G35" i="5"/>
  <c r="H35" i="5"/>
  <c r="E35" i="5"/>
  <c r="X35" i="5" s="1"/>
  <c r="I35" i="5"/>
  <c r="F35" i="5"/>
  <c r="J35" i="5"/>
  <c r="V36" i="5"/>
  <c r="AB36" i="5"/>
  <c r="S37" i="5"/>
  <c r="T37" i="5"/>
  <c r="R36" i="5" l="1"/>
  <c r="G36" i="5"/>
  <c r="H36" i="5"/>
  <c r="E36" i="5"/>
  <c r="X36" i="5" s="1"/>
  <c r="I36" i="5"/>
  <c r="F36" i="5"/>
  <c r="J36" i="5"/>
  <c r="V37" i="5"/>
  <c r="AB37" i="5"/>
  <c r="S38" i="5"/>
  <c r="T38" i="5"/>
  <c r="R37" i="5" l="1"/>
  <c r="G37" i="5"/>
  <c r="H37" i="5"/>
  <c r="E37" i="5"/>
  <c r="X37" i="5" s="1"/>
  <c r="I37" i="5"/>
  <c r="F37" i="5"/>
  <c r="J37" i="5"/>
  <c r="V38" i="5"/>
  <c r="AB38" i="5"/>
  <c r="S39" i="5"/>
  <c r="T39" i="5"/>
  <c r="R38" i="5" l="1"/>
  <c r="G38" i="5"/>
  <c r="H38" i="5"/>
  <c r="E38" i="5"/>
  <c r="X38" i="5" s="1"/>
  <c r="I38" i="5"/>
  <c r="F38" i="5"/>
  <c r="J38" i="5"/>
  <c r="V39" i="5"/>
  <c r="AB39" i="5"/>
  <c r="S40" i="5"/>
  <c r="T40" i="5"/>
  <c r="R39" i="5" l="1"/>
  <c r="G39" i="5"/>
  <c r="H39" i="5"/>
  <c r="E39" i="5"/>
  <c r="X39" i="5" s="1"/>
  <c r="I39" i="5"/>
  <c r="F39" i="5"/>
  <c r="J39" i="5"/>
  <c r="V40" i="5"/>
  <c r="AB40" i="5"/>
  <c r="S41" i="5"/>
  <c r="T41" i="5"/>
  <c r="R40" i="5" l="1"/>
  <c r="G40" i="5"/>
  <c r="H40" i="5"/>
  <c r="E40" i="5"/>
  <c r="X40" i="5" s="1"/>
  <c r="I40" i="5"/>
  <c r="F40" i="5"/>
  <c r="J40" i="5"/>
  <c r="V41" i="5"/>
  <c r="AB41" i="5"/>
  <c r="S42" i="5"/>
  <c r="T42" i="5"/>
  <c r="R41" i="5" l="1"/>
  <c r="G41" i="5"/>
  <c r="H41" i="5"/>
  <c r="E41" i="5"/>
  <c r="X41" i="5" s="1"/>
  <c r="I41" i="5"/>
  <c r="F41" i="5"/>
  <c r="J41" i="5"/>
  <c r="V42" i="5"/>
  <c r="AB42" i="5"/>
  <c r="S43" i="5"/>
  <c r="T43" i="5"/>
  <c r="R42" i="5" l="1"/>
  <c r="G42" i="5"/>
  <c r="H42" i="5"/>
  <c r="E42" i="5"/>
  <c r="X42" i="5" s="1"/>
  <c r="I42" i="5"/>
  <c r="F42" i="5"/>
  <c r="J42" i="5"/>
  <c r="V43" i="5"/>
  <c r="AB43" i="5"/>
  <c r="S44" i="5"/>
  <c r="T44" i="5"/>
  <c r="R43" i="5" l="1"/>
  <c r="G43" i="5"/>
  <c r="H43" i="5"/>
  <c r="E43" i="5"/>
  <c r="X43" i="5" s="1"/>
  <c r="I43" i="5"/>
  <c r="F43" i="5"/>
  <c r="J43" i="5"/>
  <c r="V44" i="5"/>
  <c r="AB44" i="5"/>
  <c r="S45" i="5"/>
  <c r="T45" i="5"/>
  <c r="R44" i="5" l="1"/>
  <c r="G44" i="5"/>
  <c r="H44" i="5"/>
  <c r="E44" i="5"/>
  <c r="X44" i="5" s="1"/>
  <c r="I44" i="5"/>
  <c r="F44" i="5"/>
  <c r="J44" i="5"/>
  <c r="V45" i="5"/>
  <c r="AB45" i="5"/>
  <c r="R45" i="5" l="1"/>
  <c r="G45" i="5"/>
  <c r="H45" i="5"/>
  <c r="E45" i="5"/>
  <c r="X45" i="5" s="1"/>
  <c r="I45" i="5"/>
  <c r="F45" i="5"/>
  <c r="J45"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S1491" i="5"/>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V46"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46" i="5"/>
  <c r="S1000" i="5" l="1"/>
  <c r="T250" i="5"/>
  <c r="V20" i="5"/>
  <c r="R20" i="5" s="1"/>
  <c r="V22" i="5"/>
  <c r="R22" i="5" s="1"/>
  <c r="V24" i="5"/>
  <c r="R24" i="5" s="1"/>
  <c r="V26" i="5"/>
  <c r="R26" i="5" s="1"/>
  <c r="V12" i="5"/>
  <c r="R12" i="5" s="1"/>
  <c r="V14" i="5"/>
  <c r="R14" i="5" s="1"/>
  <c r="V16" i="5"/>
  <c r="R16" i="5" s="1"/>
  <c r="V18" i="5"/>
  <c r="R18" i="5" s="1"/>
  <c r="V19" i="5"/>
  <c r="R19" i="5" s="1"/>
  <c r="V21" i="5"/>
  <c r="R21" i="5" s="1"/>
  <c r="V23" i="5"/>
  <c r="R23" i="5" s="1"/>
  <c r="V25" i="5"/>
  <c r="R25" i="5" s="1"/>
  <c r="V27" i="5"/>
  <c r="R27" i="5" s="1"/>
  <c r="V13" i="5"/>
  <c r="R13" i="5" s="1"/>
  <c r="V15" i="5"/>
  <c r="R15" i="5" s="1"/>
  <c r="V17" i="5"/>
  <c r="R17" i="5" s="1"/>
  <c r="V28" i="5"/>
  <c r="R28" i="5" s="1"/>
  <c r="R46" i="5"/>
  <c r="G46" i="5"/>
  <c r="H46" i="5"/>
  <c r="E46" i="5"/>
  <c r="X46" i="5" s="1"/>
  <c r="I46" i="5"/>
  <c r="F46" i="5"/>
  <c r="J46" i="5"/>
  <c r="AB630" i="5"/>
  <c r="AB674" i="5"/>
  <c r="AB720" i="5"/>
  <c r="G681" i="5"/>
  <c r="T788" i="5"/>
  <c r="S918" i="5"/>
  <c r="T1624" i="5"/>
  <c r="R528" i="5"/>
  <c r="T1078" i="5"/>
  <c r="AB1437" i="5"/>
  <c r="S1754" i="5"/>
  <c r="S414" i="5"/>
  <c r="T684" i="5"/>
  <c r="S1465" i="5"/>
  <c r="T1675" i="5"/>
  <c r="T2163" i="5"/>
  <c r="AB1691" i="5"/>
  <c r="AB1731" i="5"/>
  <c r="S1748" i="5"/>
  <c r="AB1757" i="5"/>
  <c r="T1883" i="5"/>
  <c r="AB2069" i="5"/>
  <c r="AB2073" i="5"/>
  <c r="T76" i="5"/>
  <c r="T391" i="5"/>
  <c r="AB446" i="5"/>
  <c r="AB450" i="5"/>
  <c r="AB481" i="5"/>
  <c r="AB858" i="5"/>
  <c r="S903" i="5"/>
  <c r="AB2402" i="5"/>
  <c r="S120" i="5"/>
  <c r="AB841" i="5"/>
  <c r="S858" i="5"/>
  <c r="AB1022" i="5"/>
  <c r="AB1463" i="5"/>
  <c r="AB410" i="5"/>
  <c r="R480" i="5"/>
  <c r="AB552" i="5"/>
  <c r="T1407" i="5"/>
  <c r="T1519" i="5"/>
  <c r="S2068" i="5"/>
  <c r="AB2088" i="5"/>
  <c r="T2133" i="5"/>
  <c r="S2428" i="5"/>
  <c r="AB488" i="5"/>
  <c r="S515" i="5"/>
  <c r="G550" i="5"/>
  <c r="T585" i="5"/>
  <c r="AB643" i="5"/>
  <c r="AB902" i="5"/>
  <c r="AB1071" i="5"/>
  <c r="T1098" i="5"/>
  <c r="AB1140" i="5"/>
  <c r="T1244" i="5"/>
  <c r="S1398" i="5"/>
  <c r="AB1566" i="5"/>
  <c r="AB1594" i="5"/>
  <c r="AB1672" i="5"/>
  <c r="AB1814" i="5"/>
  <c r="T2188" i="5"/>
  <c r="AB2413" i="5"/>
  <c r="T190" i="5"/>
  <c r="T645" i="5"/>
  <c r="S778" i="5"/>
  <c r="S853" i="5"/>
  <c r="T1435" i="5"/>
  <c r="S1477" i="5"/>
  <c r="S1596" i="5"/>
  <c r="T1814" i="5"/>
  <c r="S2015" i="5"/>
  <c r="S2038" i="5"/>
  <c r="AB299" i="5"/>
  <c r="AB324" i="5"/>
  <c r="AB579" i="5"/>
  <c r="AB1115" i="5"/>
  <c r="AB1293" i="5"/>
  <c r="AB1353" i="5"/>
  <c r="AB1401" i="5"/>
  <c r="E1479" i="5"/>
  <c r="X1479" i="5" s="1"/>
  <c r="AB1624" i="5"/>
  <c r="T1684" i="5"/>
  <c r="S1770" i="5"/>
  <c r="T1781" i="5"/>
  <c r="T2060" i="5"/>
  <c r="S2140" i="5"/>
  <c r="T2248" i="5"/>
  <c r="T2317" i="5"/>
  <c r="AB2465"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J872" i="5" s="1"/>
  <c r="AB872" i="5"/>
  <c r="AB882" i="5"/>
  <c r="T882" i="5"/>
  <c r="S882" i="5"/>
  <c r="T950" i="5"/>
  <c r="S950" i="5"/>
  <c r="F975" i="5"/>
  <c r="H975" i="5"/>
  <c r="H1103" i="5"/>
  <c r="G1103" i="5"/>
  <c r="F1103" i="5"/>
  <c r="H134" i="5"/>
  <c r="V175" i="5"/>
  <c r="F175" i="5" s="1"/>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E1735" i="5" s="1"/>
  <c r="X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62" i="5"/>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J317" i="5"/>
  <c r="H317" i="5"/>
  <c r="T367" i="5"/>
  <c r="S367" i="5"/>
  <c r="E49" i="5"/>
  <c r="X49" i="5" s="1"/>
  <c r="I50" i="5"/>
  <c r="E65" i="5"/>
  <c r="X65" i="5" s="1"/>
  <c r="I66" i="5"/>
  <c r="S72" i="5"/>
  <c r="E81" i="5"/>
  <c r="X81" i="5" s="1"/>
  <c r="I82" i="5"/>
  <c r="S88"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53" i="5"/>
  <c r="X53" i="5" s="1"/>
  <c r="J55" i="5"/>
  <c r="E69" i="5"/>
  <c r="X69" i="5" s="1"/>
  <c r="E85" i="5"/>
  <c r="X85" i="5" s="1"/>
  <c r="G90" i="5"/>
  <c r="E95" i="5"/>
  <c r="X95" i="5" s="1"/>
  <c r="R101" i="5"/>
  <c r="I103" i="5"/>
  <c r="H110" i="5"/>
  <c r="I111" i="5"/>
  <c r="T114" i="5"/>
  <c r="J115" i="5"/>
  <c r="R145" i="5"/>
  <c r="E147" i="5"/>
  <c r="X147" i="5" s="1"/>
  <c r="G153" i="5"/>
  <c r="AB162" i="5"/>
  <c r="R165" i="5"/>
  <c r="I167"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H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R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R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G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R1149" i="5" s="1"/>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I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F1735" i="5"/>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E1508" i="5" s="1"/>
  <c r="X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E1644" i="5" s="1"/>
  <c r="X1644" i="5" s="1"/>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I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E2157" i="5" s="1"/>
  <c r="X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S2350" i="5"/>
  <c r="AB2398" i="5"/>
  <c r="AB2403" i="5"/>
  <c r="V2417" i="5"/>
  <c r="G2417" i="5" s="1"/>
  <c r="T2425" i="5"/>
  <c r="S2446" i="5"/>
  <c r="AB2451" i="5"/>
  <c r="T2457" i="5"/>
  <c r="J2458" i="5"/>
  <c r="AB2462" i="5"/>
  <c r="AB2464" i="5"/>
  <c r="AB2471" i="5"/>
  <c r="AB2473" i="5"/>
  <c r="S2474" i="5"/>
  <c r="V2480" i="5"/>
  <c r="I2484" i="5"/>
  <c r="E2494" i="5"/>
  <c r="H2503" i="5"/>
  <c r="AB2386" i="5"/>
  <c r="I2433" i="5"/>
  <c r="T2436" i="5"/>
  <c r="H2469" i="5"/>
  <c r="S2472" i="5"/>
  <c r="J2484" i="5"/>
  <c r="AB2488" i="5"/>
  <c r="G2501" i="5"/>
  <c r="J2338"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J416" i="5"/>
  <c r="S417" i="5"/>
  <c r="V418" i="5"/>
  <c r="J420" i="5"/>
  <c r="S421" i="5"/>
  <c r="V422" i="5"/>
  <c r="J424" i="5"/>
  <c r="S425" i="5"/>
  <c r="V426" i="5"/>
  <c r="J428" i="5"/>
  <c r="S429" i="5"/>
  <c r="V430" i="5"/>
  <c r="J432" i="5"/>
  <c r="S433" i="5"/>
  <c r="V434" i="5"/>
  <c r="J436" i="5"/>
  <c r="S437" i="5"/>
  <c r="V438" i="5"/>
  <c r="J440" i="5"/>
  <c r="S441" i="5"/>
  <c r="V442"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S444"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T590" i="5"/>
  <c r="T594" i="5"/>
  <c r="I596" i="5"/>
  <c r="E598" i="5"/>
  <c r="X598" i="5" s="1"/>
  <c r="T598"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R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R1118" i="5"/>
  <c r="J1118" i="5"/>
  <c r="I1118" i="5"/>
  <c r="G1125" i="5"/>
  <c r="AB1137" i="5"/>
  <c r="V1137" i="5"/>
  <c r="G1137" i="5" s="1"/>
  <c r="J1139" i="5"/>
  <c r="I1139" i="5"/>
  <c r="H1139" i="5"/>
  <c r="F1139" i="5"/>
  <c r="I1148" i="5"/>
  <c r="J1148" i="5"/>
  <c r="H1148" i="5"/>
  <c r="G1148" i="5"/>
  <c r="F1148"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G1098" i="5"/>
  <c r="I1099" i="5"/>
  <c r="G1102" i="5"/>
  <c r="I1103" i="5"/>
  <c r="G1106"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G1236" i="5"/>
  <c r="V1239" i="5"/>
  <c r="G1239" i="5" s="1"/>
  <c r="F1241" i="5"/>
  <c r="F1246" i="5"/>
  <c r="E1246" i="5"/>
  <c r="X1246" i="5" s="1"/>
  <c r="AB1246" i="5"/>
  <c r="I1250" i="5"/>
  <c r="H1253" i="5"/>
  <c r="AB1255" i="5"/>
  <c r="H1257" i="5"/>
  <c r="AB1259" i="5"/>
  <c r="H1261" i="5"/>
  <c r="AB1263" i="5"/>
  <c r="H1265" i="5"/>
  <c r="AB1267"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AB1678" i="5"/>
  <c r="T1678" i="5"/>
  <c r="S1678" i="5"/>
  <c r="E1684" i="5"/>
  <c r="X1684" i="5" s="1"/>
  <c r="R1684" i="5"/>
  <c r="J1684" i="5"/>
  <c r="I1684" i="5"/>
  <c r="H1684" i="5"/>
  <c r="V1691" i="5"/>
  <c r="G1691" i="5" s="1"/>
  <c r="AB1695" i="5"/>
  <c r="AB1710" i="5"/>
  <c r="T1710" i="5"/>
  <c r="S1710" i="5"/>
  <c r="E1716" i="5"/>
  <c r="X1716" i="5" s="1"/>
  <c r="R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R1688" i="5"/>
  <c r="J1688" i="5"/>
  <c r="I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R1668" i="5"/>
  <c r="J1668" i="5"/>
  <c r="I1668"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R2157" i="5"/>
  <c r="J2162"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46" i="5"/>
  <c r="T6" i="5"/>
  <c r="T5" i="5"/>
  <c r="H1673" i="5" l="1"/>
  <c r="I175" i="5"/>
  <c r="H883" i="5"/>
  <c r="E799" i="5"/>
  <c r="X799" i="5" s="1"/>
  <c r="H443" i="5"/>
  <c r="H2397" i="5"/>
  <c r="F1665" i="5"/>
  <c r="E1673" i="5"/>
  <c r="X1673" i="5" s="1"/>
  <c r="I1735" i="5"/>
  <c r="F1233" i="5"/>
  <c r="H2289" i="5"/>
  <c r="J2197" i="5"/>
  <c r="R2181" i="5"/>
  <c r="R2043" i="5"/>
  <c r="G2092" i="5"/>
  <c r="R1673" i="5"/>
  <c r="H1700" i="5"/>
  <c r="E1668" i="5"/>
  <c r="X1668" i="5" s="1"/>
  <c r="E1688" i="5"/>
  <c r="X1688" i="5" s="1"/>
  <c r="H1716" i="5"/>
  <c r="F1668" i="5"/>
  <c r="J1644" i="5"/>
  <c r="J1339" i="5"/>
  <c r="H1233" i="5"/>
  <c r="I1308" i="5"/>
  <c r="F1272" i="5"/>
  <c r="E1260" i="5"/>
  <c r="X1260" i="5" s="1"/>
  <c r="F1110" i="5"/>
  <c r="R852" i="5"/>
  <c r="F883" i="5"/>
  <c r="F799" i="5"/>
  <c r="E578" i="5"/>
  <c r="X578" i="5" s="1"/>
  <c r="H419" i="5"/>
  <c r="I265" i="5"/>
  <c r="E2197" i="5"/>
  <c r="X2197" i="5" s="1"/>
  <c r="G1385" i="5"/>
  <c r="J1492" i="5"/>
  <c r="J1735" i="5"/>
  <c r="I1233" i="5"/>
  <c r="H1665" i="5"/>
  <c r="R2197" i="5"/>
  <c r="R2326" i="5"/>
  <c r="F2035" i="5"/>
  <c r="E2043" i="5"/>
  <c r="X2043" i="5" s="1"/>
  <c r="H2092" i="5"/>
  <c r="I1700" i="5"/>
  <c r="I1716" i="5"/>
  <c r="R1644" i="5"/>
  <c r="R1339" i="5"/>
  <c r="J1308" i="5"/>
  <c r="G1272" i="5"/>
  <c r="F1260" i="5"/>
  <c r="I883" i="5"/>
  <c r="H799" i="5"/>
  <c r="I600" i="5"/>
  <c r="H578" i="5"/>
  <c r="H265" i="5"/>
  <c r="H2342" i="5"/>
  <c r="E2213" i="5"/>
  <c r="X2213" i="5" s="1"/>
  <c r="H2325" i="5"/>
  <c r="R1735" i="5"/>
  <c r="R1233" i="5"/>
  <c r="J556" i="5"/>
  <c r="F2157" i="5"/>
  <c r="J2157" i="5"/>
  <c r="J1700" i="5"/>
  <c r="H1668" i="5"/>
  <c r="H1688" i="5"/>
  <c r="J1716" i="5"/>
  <c r="J1233" i="5"/>
  <c r="E1339" i="5"/>
  <c r="X1339" i="5" s="1"/>
  <c r="I1095" i="5"/>
  <c r="R1308" i="5"/>
  <c r="R1272" i="5"/>
  <c r="G1260" i="5"/>
  <c r="F730" i="5"/>
  <c r="I799" i="5"/>
  <c r="H648" i="5"/>
  <c r="I578" i="5"/>
  <c r="F314" i="5"/>
  <c r="J265" i="5"/>
  <c r="J2342" i="5"/>
  <c r="J314" i="5"/>
  <c r="R556" i="5"/>
  <c r="J215" i="5"/>
  <c r="R415" i="5"/>
  <c r="J447" i="5"/>
  <c r="H1672" i="5"/>
  <c r="I1149" i="5"/>
  <c r="E943" i="5"/>
  <c r="X943" i="5" s="1"/>
  <c r="E265" i="5"/>
  <c r="X265" i="5" s="1"/>
  <c r="I1272" i="5"/>
  <c r="J1133" i="5"/>
  <c r="J1149" i="5"/>
  <c r="G943" i="5"/>
  <c r="H1269" i="5"/>
  <c r="E1272" i="5"/>
  <c r="X1272" i="5" s="1"/>
  <c r="J1272" i="5"/>
  <c r="F265" i="5"/>
  <c r="J2173" i="5"/>
  <c r="H2116" i="5"/>
  <c r="B32" i="6"/>
  <c r="C10" i="6"/>
  <c r="C12" i="6"/>
  <c r="C8" i="6"/>
  <c r="C9" i="6"/>
  <c r="C11"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H25" i="6" s="1"/>
  <c r="B35" i="6"/>
  <c r="G35" i="6" s="1"/>
  <c r="X6" i="5"/>
  <c r="B39" i="6"/>
  <c r="G39" i="6" s="1"/>
  <c r="F24" i="6"/>
  <c r="F39" i="6" s="1"/>
  <c r="H39" i="6" s="1"/>
  <c r="D39" i="6" s="1"/>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K67"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F30"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34"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5" i="5"/>
  <c r="S6" i="5"/>
  <c r="F49" i="6" l="1"/>
  <c r="F54" i="6"/>
  <c r="F57" i="6" s="1"/>
  <c r="H57" i="6" s="1"/>
  <c r="H50" i="6"/>
  <c r="D50" i="6" s="1"/>
  <c r="F65" i="6"/>
  <c r="C2" i="6" s="1"/>
  <c r="F44" i="6"/>
  <c r="H44" i="6" s="1"/>
  <c r="D44" i="6" s="1"/>
  <c r="H40" i="6"/>
  <c r="D40" i="6" s="1"/>
  <c r="F29" i="6"/>
  <c r="H29" i="6" s="1"/>
  <c r="D29" i="6" s="1"/>
  <c r="H45" i="6"/>
  <c r="D45" i="6" s="1"/>
  <c r="H46" i="6"/>
  <c r="D46" i="6" s="1"/>
  <c r="H31" i="6"/>
  <c r="C31" i="6" s="1"/>
  <c r="C29" i="6"/>
  <c r="H30" i="6"/>
  <c r="AB9" i="5"/>
  <c r="AB10" i="5"/>
  <c r="V11" i="5"/>
  <c r="V10" i="5"/>
  <c r="AB8" i="5"/>
  <c r="V9" i="5"/>
  <c r="V8" i="5"/>
  <c r="AB11" i="5"/>
  <c r="AB7" i="5"/>
  <c r="G68" i="6" s="1"/>
  <c r="H68" i="6" s="1"/>
  <c r="D68" i="6" s="1"/>
  <c r="V7" i="5"/>
  <c r="F69" i="6"/>
  <c r="C69" i="6" s="1"/>
  <c r="H49" i="6"/>
  <c r="D49" i="6" s="1"/>
  <c r="H34" i="6"/>
  <c r="H32" i="6"/>
  <c r="C51" i="6"/>
  <c r="D19" i="6"/>
  <c r="C19" i="6"/>
  <c r="K65" i="6"/>
  <c r="D24" i="6"/>
  <c r="C24" i="6"/>
  <c r="X100" i="5"/>
  <c r="D27" i="6"/>
  <c r="C27" i="6"/>
  <c r="C36" i="6"/>
  <c r="C42" i="6"/>
  <c r="C41" i="6"/>
  <c r="C20" i="6"/>
  <c r="D20" i="6"/>
  <c r="C35" i="6"/>
  <c r="F62" i="6"/>
  <c r="H62" i="6" s="1"/>
  <c r="F58" i="6"/>
  <c r="H58" i="6" s="1"/>
  <c r="F60" i="6"/>
  <c r="H60" i="6" s="1"/>
  <c r="F63" i="6"/>
  <c r="H63" i="6" s="1"/>
  <c r="C37" i="6"/>
  <c r="D25" i="6"/>
  <c r="C25" i="6"/>
  <c r="D26" i="6"/>
  <c r="C26" i="6"/>
  <c r="D21" i="6"/>
  <c r="C21" i="6"/>
  <c r="C39" i="6"/>
  <c r="D22" i="6"/>
  <c r="C22" i="6"/>
  <c r="H47" i="6"/>
  <c r="D47" i="6" s="1"/>
  <c r="C52" i="6"/>
  <c r="C44" i="6"/>
  <c r="C50" i="6" l="1"/>
  <c r="F55" i="6"/>
  <c r="H55" i="6" s="1"/>
  <c r="H54" i="6"/>
  <c r="C54" i="6" s="1"/>
  <c r="F59" i="6"/>
  <c r="H59" i="6" s="1"/>
  <c r="B2" i="6"/>
  <c r="C46" i="6"/>
  <c r="C34" i="6"/>
  <c r="D34" i="6"/>
  <c r="C40" i="6"/>
  <c r="C45" i="6"/>
  <c r="D31" i="6"/>
  <c r="C30" i="6"/>
  <c r="D30" i="6"/>
  <c r="C32" i="6"/>
  <c r="D32" i="6"/>
  <c r="R10" i="5"/>
  <c r="R7" i="5"/>
  <c r="G66" i="6"/>
  <c r="H66" i="6" s="1"/>
  <c r="C66" i="6" s="1"/>
  <c r="G67" i="6"/>
  <c r="H67" i="6" s="1"/>
  <c r="D67" i="6" s="1"/>
  <c r="G65" i="6"/>
  <c r="H65" i="6" s="1"/>
  <c r="C65" i="6" s="1"/>
  <c r="R9" i="5"/>
  <c r="R8" i="5"/>
  <c r="R11" i="5"/>
  <c r="C68" i="6"/>
  <c r="C49" i="6"/>
  <c r="C47" i="6"/>
  <c r="C60" i="6"/>
  <c r="D60" i="6"/>
  <c r="D58" i="6"/>
  <c r="C58" i="6"/>
  <c r="D63" i="6"/>
  <c r="C63" i="6"/>
  <c r="C62" i="6"/>
  <c r="D62" i="6"/>
  <c r="D57" i="6"/>
  <c r="C57" i="6"/>
  <c r="F56" i="6"/>
  <c r="H56" i="6" s="1"/>
  <c r="D59" i="6"/>
  <c r="C59" i="6"/>
  <c r="T8" i="5"/>
  <c r="T7" i="5"/>
  <c r="T11" i="5"/>
  <c r="T10" i="5"/>
  <c r="T9" i="5"/>
  <c r="D54" i="6" l="1"/>
  <c r="X10" i="5"/>
  <c r="D65" i="6"/>
  <c r="X9" i="5"/>
  <c r="D66" i="6"/>
  <c r="C67" i="6"/>
  <c r="X11" i="5"/>
  <c r="X8" i="5"/>
  <c r="X7" i="5"/>
  <c r="G69" i="6"/>
  <c r="H69" i="6" s="1"/>
  <c r="H70" i="6" s="1"/>
  <c r="D2" i="6" s="1"/>
  <c r="D55" i="6"/>
  <c r="C55" i="6"/>
  <c r="D56" i="6"/>
  <c r="C56" i="6"/>
  <c r="S8" i="5"/>
  <c r="S9" i="5"/>
  <c r="S11" i="5"/>
  <c r="S7"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<sst xmlns="http://schemas.openxmlformats.org/spreadsheetml/2006/main" count="22008" uniqueCount="15525">
  <si>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</si>
  <si>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</si>
  <si>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</si>
  <si>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</si>
  <si>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</si>
  <si>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</si>
  <si>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</si>
  <si>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</si>
  <si>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</si>
  <si>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</si>
  <si>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</si>
  <si>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</si>
  <si>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</si>
  <si>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</si>
  <si>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</si>
  <si>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</si>
  <si>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</si>
  <si>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</si>
  <si>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</si>
  <si>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</si>
  <si>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</si>
  <si>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</si>
  <si>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</si>
  <si>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</si>
  <si>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</si>
  <si>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</si>
  <si>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</si>
  <si>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</si>
  <si>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</si>
  <si>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</si>
  <si>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</si>
  <si>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</si>
  <si>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</si>
  <si>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</si>
  <si>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</si>
  <si>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</si>
  <si>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</si>
  <si>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</si>
  <si>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</si>
  <si>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</si>
  <si>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</si>
  <si>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</si>
  <si>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</si>
  <si>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</si>
  <si>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</si>
  <si>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</si>
  <si>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</si>
  <si>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</si>
  <si>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</si>
  <si>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</si>
  <si>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</si>
  <si>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</si>
  <si>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</si>
  <si>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</si>
  <si>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</si>
  <si>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</si>
  <si>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</si>
  <si>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</si>
  <si>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</si>
  <si>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</si>
  <si>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</si>
  <si>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</si>
  <si>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</si>
  <si>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</si>
  <si>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</si>
  <si>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</si>
  <si>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</si>
  <si>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</si>
  <si>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</si>
  <si>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</si>
  <si>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</si>
  <si>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</si>
  <si>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</si>
  <si>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</si>
  <si>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</si>
  <si>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</si>
  <si>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</si>
  <si>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</si>
  <si>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</si>
  <si>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</si>
  <si>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</si>
  <si>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</si>
  <si>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</si>
  <si>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</si>
  <si>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</si>
  <si>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</si>
  <si>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</si>
  <si>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</si>
  <si>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</si>
  <si>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</si>
  <si>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</si>
  <si>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</si>
  <si>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</si>
  <si>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</si>
  <si>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</si>
  <si>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</si>
  <si>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</si>
  <si>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</si>
  <si>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</si>
  <si>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</si>
  <si>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</si>
  <si>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</si>
  <si>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</si>
  <si>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</si>
  <si>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</si>
  <si>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</si>
  <si>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</si>
  <si>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</si>
  <si>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</si>
  <si>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</si>
  <si>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</si>
  <si>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</si>
  <si>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</si>
  <si>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</si>
  <si>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</si>
  <si>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</si>
  <si>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</si>
  <si>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</si>
  <si>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</si>
  <si>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</si>
  <si>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</si>
  <si>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</si>
  <si>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</si>
  <si>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</si>
  <si>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</si>
  <si>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</si>
  <si>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</si>
  <si>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</si>
  <si>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</si>
  <si>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</si>
  <si>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</si>
  <si>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</si>
  <si>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</si>
  <si>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</si>
  <si>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</si>
  <si>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</si>
  <si>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</si>
  <si>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</si>
  <si>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</si>
  <si>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</si>
  <si>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</si>
  <si>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</si>
  <si>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</si>
  <si>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</si>
  <si>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</si>
  <si>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</si>
  <si>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</si>
  <si>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</si>
  <si>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</si>
  <si>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</si>
  <si>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</si>
  <si>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</si>
  <si>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</si>
  <si>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</si>
  <si>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</si>
  <si>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</si>
  <si>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</si>
  <si>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</si>
  <si>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</si>
  <si>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</si>
  <si>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</si>
  <si>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</si>
  <si>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</si>
  <si>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</si>
  <si>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</si>
  <si>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</si>
  <si>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</si>
  <si>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</si>
  <si>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</si>
  <si>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</si>
  <si>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</si>
  <si>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</si>
  <si>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</si>
  <si>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</si>
  <si>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</si>
  <si>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</si>
  <si>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</si>
  <si>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</si>
  <si>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</si>
  <si>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</si>
  <si>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</si>
  <si>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</si>
  <si>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</si>
  <si>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</si>
  <si>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</si>
  <si>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</si>
  <si>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</si>
  <si>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</si>
  <si>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</si>
  <si>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</si>
  <si>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</si>
  <si>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</si>
  <si>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</si>
  <si>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</si>
  <si>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</si>
  <si>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</si>
  <si>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</si>
  <si>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</si>
  <si>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</si>
  <si>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</si>
  <si>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</si>
  <si>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</si>
  <si>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</si>
  <si>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</si>
  <si>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</si>
  <si>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</si>
  <si>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</si>
  <si>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</si>
  <si>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</si>
  <si>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</si>
  <si>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</si>
  <si>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</si>
  <si>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</si>
  <si>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</si>
  <si>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</si>
  <si>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</si>
  <si>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</si>
  <si>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</si>
  <si>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</si>
  <si>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</si>
  <si>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</si>
  <si>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</si>
  <si>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</si>
  <si>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</si>
  <si>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</si>
  <si>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</si>
  <si>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</si>
  <si>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</si>
  <si>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</si>
  <si>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</si>
  <si>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</si>
  <si>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</si>
  <si>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</si>
  <si>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</si>
  <si>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</si>
  <si>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</si>
  <si>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</si>
  <si>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</si>
  <si>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</si>
  <si>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</si>
  <si>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</si>
  <si>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</si>
  <si>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</si>
  <si>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</si>
  <si>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</si>
  <si>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</si>
  <si>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</si>
  <si>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</si>
  <si>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</si>
  <si>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</si>
  <si>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</si>
  <si>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</si>
  <si>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</si>
  <si>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</si>
  <si>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</si>
  <si>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</si>
  <si>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</si>
  <si>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</si>
  <si>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</si>
  <si>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</si>
  <si>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</si>
  <si>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</si>
  <si>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</si>
  <si>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</si>
  <si>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</si>
  <si>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</si>
  <si>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</si>
  <si>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</si>
  <si>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</si>
  <si>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</si>
  <si>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</si>
  <si>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</si>
  <si>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</si>
  <si>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</si>
  <si>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</si>
  <si>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</si>
  <si>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</si>
  <si>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</si>
  <si>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</si>
  <si>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</si>
  <si>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</si>
  <si>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</si>
  <si>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</si>
  <si>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</si>
  <si>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</si>
  <si>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</si>
  <si>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</si>
  <si>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</si>
  <si>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</si>
  <si>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</si>
  <si>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</si>
  <si>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</si>
  <si>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</si>
  <si>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</si>
  <si>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</si>
  <si>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</si>
  <si>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</si>
  <si>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</si>
  <si>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</si>
  <si>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</si>
  <si>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</si>
  <si>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</si>
  <si>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</si>
  <si>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</si>
  <si>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</si>
  <si>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</si>
  <si>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</si>
  <si>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</si>
  <si>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</si>
  <si>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</si>
  <si>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</si>
  <si>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</si>
  <si>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</si>
  <si>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</si>
  <si>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</si>
  <si>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</si>
  <si>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</si>
  <si>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</si>
  <si>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</si>
  <si>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</si>
  <si>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</si>
  <si>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</si>
  <si>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</si>
  <si>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</si>
  <si>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</si>
  <si>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</si>
  <si>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</si>
  <si>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</si>
  <si>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</si>
  <si>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</si>
  <si>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</si>
  <si>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</si>
  <si>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</si>
  <si>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</si>
  <si>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</si>
  <si>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</si>
  <si>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</si>
  <si>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</si>
  <si>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</si>
  <si>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</si>
  <si>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</si>
  <si>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</si>
  <si>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</si>
  <si>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</si>
  <si>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</si>
  <si>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</si>
  <si>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</si>
  <si>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</si>
  <si>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</si>
  <si>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</si>
  <si>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</si>
  <si>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</si>
  <si>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</si>
  <si>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</si>
  <si>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</si>
  <si>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</si>
  <si>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</si>
  <si>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</si>
  <si>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</si>
  <si>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</si>
  <si>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</si>
  <si>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</si>
  <si>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</si>
  <si>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</si>
  <si>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</si>
  <si>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</si>
  <si>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</si>
  <si>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</si>
  <si>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</si>
  <si>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</si>
  <si>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</si>
  <si>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</si>
  <si>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</si>
  <si>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</si>
  <si>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</si>
  <si>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</si>
  <si>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</si>
  <si>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</si>
  <si>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</si>
  <si>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</si>
  <si>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</si>
  <si>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</si>
  <si>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</si>
  <si>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</si>
  <si>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</si>
  <si>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</si>
  <si>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</si>
  <si>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</si>
  <si>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</si>
  <si>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</si>
  <si>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</si>
  <si>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</si>
  <si>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</si>
  <si>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</si>
  <si>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</si>
  <si>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</si>
  <si>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</si>
  <si>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</si>
  <si>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</si>
  <si>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</si>
  <si>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</si>
  <si>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</si>
  <si>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</si>
  <si>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</si>
  <si>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</si>
  <si>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</si>
  <si>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</si>
  <si>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</si>
  <si>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</si>
  <si>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</si>
  <si>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</si>
  <si>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</si>
  <si>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</si>
  <si>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</si>
  <si>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</si>
  <si>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</si>
  <si>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</si>
  <si>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</si>
  <si>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</si>
  <si>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</si>
  <si>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</si>
  <si>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</si>
  <si>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</si>
  <si>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</si>
  <si>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</si>
  <si>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</si>
  <si>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</si>
  <si>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</si>
  <si>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</si>
  <si>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</si>
  <si>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</si>
  <si>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</si>
  <si>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</si>
  <si>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</si>
  <si>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</si>
  <si>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</si>
  <si>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</si>
  <si>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</si>
  <si>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</si>
  <si>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</si>
  <si>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</si>
  <si>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</si>
  <si>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</si>
  <si>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</si>
  <si>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</si>
  <si>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</si>
  <si>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</si>
  <si>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</si>
  <si>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</si>
  <si>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</si>
  <si>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</si>
  <si>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</si>
  <si>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</si>
  <si>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</si>
  <si>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</si>
  <si>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</si>
  <si>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</si>
  <si>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</si>
  <si>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</si>
  <si>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</si>
  <si>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</si>
  <si>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</si>
  <si>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</si>
  <si>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</si>
  <si>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</si>
  <si>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</si>
  <si>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</si>
  <si>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</si>
  <si>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</si>
  <si>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</si>
  <si>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</si>
  <si>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</si>
  <si>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</si>
  <si>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</si>
  <si>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</si>
  <si>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</si>
  <si>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</si>
  <si>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</si>
  <si>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</si>
  <si>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</si>
  <si>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</si>
  <si>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</si>
  <si>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</si>
  <si>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</si>
  <si>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</si>
  <si>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</si>
  <si>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</si>
  <si>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</si>
  <si>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</si>
  <si>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</si>
  <si>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</si>
  <si>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</si>
  <si>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</si>
  <si>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</si>
  <si>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</si>
  <si>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</si>
  <si>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</si>
  <si>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</si>
  <si>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</si>
  <si>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</si>
  <si>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</si>
  <si>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</si>
  <si>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</si>
  <si>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</si>
  <si>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</si>
  <si>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</si>
  <si>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</si>
  <si>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</si>
  <si>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</si>
  <si>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</si>
  <si>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</si>
  <si>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</si>
  <si>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</si>
  <si>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</si>
  <si>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</si>
  <si>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</si>
  <si>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</si>
  <si>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</si>
  <si>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</si>
  <si>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</si>
  <si>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</si>
  <si>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</si>
  <si>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</si>
  <si>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</si>
  <si>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</si>
  <si>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</si>
  <si>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</si>
  <si>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</si>
  <si>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</si>
  <si>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</si>
  <si>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</si>
  <si>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</si>
  <si>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</si>
  <si>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</si>
  <si>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</si>
  <si>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</si>
  <si>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</si>
  <si>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</si>
  <si>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</si>
  <si>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</si>
  <si>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</si>
  <si>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</si>
  <si>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</si>
  <si>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</si>
  <si>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</si>
  <si>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</si>
  <si>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</si>
  <si>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</si>
  <si>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</si>
  <si>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</si>
  <si>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</si>
  <si>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</si>
  <si>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</si>
  <si>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</si>
  <si>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</si>
  <si>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</si>
  <si>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</si>
  <si>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</si>
  <si>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</si>
  <si>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</si>
  <si>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</si>
  <si>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</si>
  <si>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</si>
  <si>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</si>
  <si>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</si>
  <si>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</si>
  <si>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</si>
  <si>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</si>
  <si>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</si>
  <si>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</si>
  <si>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</si>
  <si>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</si>
  <si>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</si>
  <si>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</si>
  <si>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</si>
  <si>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</si>
  <si>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</si>
  <si>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</si>
  <si>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</si>
  <si>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</si>
  <si>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</si>
  <si>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</si>
  <si>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</si>
  <si>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</si>
  <si>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</si>
  <si>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</si>
  <si>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</si>
  <si>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</si>
  <si>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</si>
  <si>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</si>
  <si>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</si>
  <si>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</si>
  <si>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</si>
  <si>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</si>
  <si>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</si>
  <si>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</si>
  <si>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</si>
  <si>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</si>
  <si>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</si>
  <si>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</si>
  <si>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</si>
  <si>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</si>
  <si>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</si>
  <si>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</si>
  <si>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</si>
  <si>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</si>
  <si>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</si>
  <si>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</si>
  <si>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</si>
  <si>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</si>
  <si>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</si>
  <si>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</si>
  <si>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</si>
  <si>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</si>
  <si>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</si>
  <si>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</si>
  <si>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</si>
  <si>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</si>
  <si>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</si>
  <si>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</si>
  <si>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</si>
  <si>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</si>
  <si>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</si>
  <si>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</si>
  <si>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</si>
  <si>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</si>
  <si>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</si>
  <si>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</si>
  <si>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</si>
  <si>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</si>
  <si>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</si>
  <si>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</si>
  <si>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</si>
  <si>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</si>
  <si>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</si>
  <si>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</si>
  <si>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</si>
  <si>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</si>
  <si>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</si>
  <si>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</si>
  <si>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</si>
  <si>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</si>
  <si>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</si>
  <si>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</si>
  <si>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</si>
  <si>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</si>
  <si>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</si>
  <si>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</si>
  <si>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</si>
  <si>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</si>
  <si>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</si>
  <si>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</si>
  <si>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</si>
  <si>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</si>
  <si>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</si>
  <si>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</si>
  <si>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</si>
  <si>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</si>
  <si>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</si>
  <si>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</si>
  <si>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</si>
  <si>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</si>
  <si>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</si>
  <si>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</si>
  <si>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</si>
  <si>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</si>
  <si>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</si>
  <si>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</si>
  <si>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</si>
  <si>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</si>
  <si>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</si>
  <si>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</si>
  <si>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</si>
  <si>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</si>
  <si>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</si>
  <si>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</si>
  <si>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</si>
  <si>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</si>
  <si>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</si>
  <si>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</si>
  <si>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</si>
  <si>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</si>
  <si>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</si>
  <si>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</si>
  <si>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</si>
  <si>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</si>
  <si>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</si>
  <si>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</si>
  <si>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</si>
  <si>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</si>
  <si>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</si>
  <si>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</si>
  <si>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</si>
  <si>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</si>
  <si>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</si>
  <si>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</si>
  <si>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</si>
  <si>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</si>
  <si>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</si>
  <si>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</si>
  <si>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</si>
  <si>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</si>
  <si>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</si>
  <si>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</si>
  <si>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</si>
  <si>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</si>
  <si>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</si>
  <si>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</si>
  <si>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</si>
  <si>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</si>
  <si>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</si>
  <si>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</si>
  <si>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</si>
  <si>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</si>
  <si>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</si>
  <si>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</si>
  <si>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</si>
  <si>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</si>
  <si>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</si>
  <si>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</si>
  <si>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</si>
  <si>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</si>
  <si>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</si>
  <si>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</si>
  <si>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</si>
  <si>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</si>
  <si>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</si>
  <si>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</si>
  <si>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</si>
  <si>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</si>
  <si>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</si>
  <si>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</si>
  <si>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</si>
  <si>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</si>
  <si>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</si>
  <si>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</si>
  <si>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</si>
  <si>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</si>
  <si>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</si>
  <si>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</si>
  <si>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</si>
  <si>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</si>
  <si>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</si>
  <si>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</si>
  <si>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</si>
  <si>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</si>
  <si>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</si>
  <si>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</si>
  <si>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</si>
  <si>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</si>
  <si>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</si>
  <si>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</si>
  <si>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</si>
  <si>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</si>
  <si>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</si>
  <si>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</si>
  <si>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</si>
  <si>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</si>
  <si>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</si>
  <si>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</si>
  <si>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</si>
  <si>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</si>
  <si>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</si>
  <si>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</si>
  <si>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</si>
  <si>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</si>
  <si>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</si>
  <si>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</si>
  <si>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</si>
  <si>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</si>
  <si>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</si>
  <si>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</si>
  <si>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</si>
  <si>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</si>
  <si>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</si>
  <si>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</si>
  <si>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</si>
  <si>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</si>
  <si>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</si>
  <si>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</si>
  <si>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</si>
  <si>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</si>
  <si>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</si>
  <si>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</si>
  <si>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</si>
  <si>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</si>
  <si>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</si>
  <si>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</si>
  <si>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</si>
  <si>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</si>
  <si>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</si>
  <si>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</si>
  <si>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</si>
  <si>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</si>
  <si>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</si>
  <si>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</si>
  <si>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</si>
  <si>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</si>
  <si>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</si>
  <si>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</si>
  <si>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</si>
  <si>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</si>
  <si>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</si>
  <si>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</si>
  <si>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</si>
  <si>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</si>
  <si>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</si>
  <si>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</si>
  <si>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</si>
  <si>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</si>
  <si>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</si>
  <si>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</si>
  <si>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</si>
  <si>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</si>
  <si>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</si>
  <si>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</si>
  <si>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</si>
  <si>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</si>
  <si>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</si>
  <si>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</si>
  <si>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</si>
  <si>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</si>
  <si>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</si>
  <si>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</si>
  <si>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</si>
  <si>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</si>
  <si>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</si>
  <si>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</si>
  <si>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</si>
  <si>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</si>
  <si>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</si>
  <si>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</si>
  <si>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</si>
  <si>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</si>
  <si>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</si>
  <si>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</si>
  <si>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</si>
  <si>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</si>
  <si>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</si>
  <si>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</si>
  <si>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</si>
  <si>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</si>
  <si>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</si>
  <si>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</si>
  <si>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</si>
  <si>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</si>
  <si>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</si>
  <si>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</si>
  <si>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</si>
  <si>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</si>
  <si>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</si>
  <si>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</si>
  <si>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</si>
  <si>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</si>
  <si>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</si>
  <si>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</si>
  <si>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</si>
  <si>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</si>
  <si>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</si>
  <si>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</si>
  <si>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</si>
  <si>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</si>
  <si>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</si>
  <si>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</si>
  <si>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</si>
  <si>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</si>
  <si>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</si>
  <si>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</si>
  <si>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</si>
  <si>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</si>
  <si>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</si>
  <si>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</si>
  <si>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</si>
  <si>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</si>
  <si>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</si>
  <si>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</si>
  <si>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</si>
  <si>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</si>
  <si>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</si>
  <si>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</si>
  <si>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</si>
  <si>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</si>
  <si>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</si>
  <si>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</si>
  <si>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</si>
  <si>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</si>
  <si>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</si>
  <si>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</si>
  <si>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</si>
  <si>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</si>
  <si>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</si>
  <si>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</si>
  <si>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</si>
  <si>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</si>
  <si>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</si>
  <si>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</si>
  <si>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</si>
  <si>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</si>
  <si>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</si>
  <si>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</si>
  <si>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</si>
  <si>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</si>
  <si>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</si>
  <si>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</si>
  <si>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</si>
  <si>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</si>
  <si>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</si>
  <si>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</si>
  <si>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</si>
  <si>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</si>
  <si>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</si>
  <si>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</si>
  <si>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</si>
  <si>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</si>
  <si>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</si>
  <si>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</si>
  <si>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</si>
  <si>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</si>
  <si>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</si>
  <si>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</si>
  <si>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</si>
  <si>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</si>
  <si>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</si>
  <si>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</si>
  <si>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</si>
  <si>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</si>
  <si>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</si>
  <si>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</si>
  <si>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</si>
  <si>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</si>
  <si>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</si>
  <si>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</si>
  <si>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</si>
  <si>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</si>
  <si>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</si>
  <si>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</si>
  <si>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</si>
  <si>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</si>
  <si>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</si>
  <si>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</si>
  <si>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</si>
  <si>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</si>
  <si>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</si>
  <si>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</si>
  <si>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</si>
  <si>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</si>
  <si>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</si>
  <si>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</si>
  <si>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</si>
  <si>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</si>
  <si>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</si>
  <si>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</si>
  <si>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</si>
  <si>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</si>
  <si>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</si>
  <si>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</si>
  <si>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</si>
  <si>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</si>
  <si>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</si>
  <si>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</si>
  <si>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</si>
  <si>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</si>
  <si>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</si>
  <si>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</si>
  <si>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</si>
  <si>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</si>
  <si>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</si>
  <si>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</si>
  <si>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</si>
  <si>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</si>
  <si>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</si>
  <si>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</si>
  <si>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</si>
  <si>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</si>
  <si>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</si>
  <si>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</si>
  <si>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</si>
  <si>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</si>
  <si>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</si>
  <si>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</si>
  <si>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</si>
  <si>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</si>
  <si>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</si>
  <si>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</si>
  <si>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</si>
  <si>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</si>
  <si>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</si>
  <si>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</si>
  <si>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</si>
  <si>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</si>
  <si>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</si>
  <si>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</si>
  <si>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</si>
  <si>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</si>
  <si>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</si>
  <si>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</si>
  <si>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</si>
  <si>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</si>
  <si>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</si>
  <si>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</si>
  <si>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</si>
  <si>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</si>
  <si>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</si>
  <si>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</si>
  <si>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</si>
  <si>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</si>
  <si>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</si>
  <si>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</si>
  <si>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</si>
  <si>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</si>
  <si>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</si>
  <si>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</si>
  <si>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</si>
  <si>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</si>
  <si>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</si>
  <si>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</si>
  <si>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</si>
  <si>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</si>
  <si>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</si>
  <si>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</si>
  <si>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</si>
  <si>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</si>
  <si>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</si>
  <si>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</si>
  <si>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</si>
  <si>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</si>
  <si>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</si>
  <si>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</si>
  <si>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</si>
  <si>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</si>
  <si>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</si>
  <si>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</si>
  <si>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</si>
  <si>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</si>
  <si>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</si>
  <si>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</si>
  <si>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</si>
  <si>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</si>
  <si>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</si>
  <si>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</si>
  <si>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</si>
  <si>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</si>
  <si>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</si>
  <si>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</si>
  <si>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</si>
  <si>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</si>
  <si>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</si>
  <si>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</si>
  <si>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</si>
  <si>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</si>
  <si>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</si>
  <si>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</si>
  <si>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</si>
  <si>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</si>
  <si>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</si>
  <si>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</si>
  <si>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</si>
  <si>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</si>
  <si>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</si>
  <si>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</si>
  <si>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</si>
  <si>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</si>
  <si>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</si>
  <si>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</si>
  <si>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</si>
  <si>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</si>
  <si>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</si>
  <si>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</si>
  <si>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</si>
  <si>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</si>
  <si>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</si>
  <si>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</si>
  <si>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</si>
  <si>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</si>
  <si>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</si>
  <si>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</si>
  <si>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</si>
  <si>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</si>
  <si>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</si>
  <si>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</si>
  <si>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</si>
  <si>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</si>
  <si>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</si>
  <si>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</si>
  <si>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</si>
  <si>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</si>
  <si>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</si>
  <si>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</si>
  <si>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</si>
  <si>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</si>
  <si>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</si>
  <si>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</si>
  <si>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</si>
  <si>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</si>
  <si>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</si>
  <si>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</si>
  <si>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</si>
  <si>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</si>
  <si>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</si>
  <si>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</si>
  <si>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</si>
  <si>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</si>
  <si>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</si>
  <si>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</si>
  <si>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</si>
  <si>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</si>
  <si>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</si>
  <si>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</si>
  <si>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</si>
  <si>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</si>
  <si>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</si>
  <si>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</si>
  <si>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</si>
  <si>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</si>
  <si>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</si>
  <si>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</si>
  <si>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</si>
  <si>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</si>
  <si>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</si>
  <si>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</si>
  <si>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</si>
  <si>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</si>
  <si>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</si>
  <si>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</si>
  <si>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</si>
  <si>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</si>
  <si>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</si>
  <si>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</si>
  <si>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</si>
  <si>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</si>
  <si>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</si>
  <si>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</si>
  <si>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</si>
  <si>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</si>
  <si>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</si>
  <si>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</si>
  <si>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</si>
  <si>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</si>
  <si>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</si>
  <si>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</si>
  <si>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</si>
  <si>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</si>
  <si>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</si>
  <si>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</si>
  <si>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</si>
  <si>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</si>
  <si>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</si>
  <si>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</si>
  <si>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</si>
  <si>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</si>
  <si>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</si>
  <si>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</si>
  <si>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</si>
  <si>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</si>
  <si>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</si>
  <si>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</si>
  <si>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</si>
  <si>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</si>
  <si>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</si>
  <si>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</si>
  <si>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</si>
  <si>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</si>
  <si>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</si>
  <si>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</si>
  <si>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</si>
  <si>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</si>
  <si>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</si>
  <si>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</si>
  <si>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</si>
  <si>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</si>
  <si>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</si>
  <si>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</si>
  <si>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</si>
  <si>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</si>
  <si>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</si>
  <si>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</si>
  <si>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</si>
  <si>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</si>
  <si>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</si>
  <si>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</si>
  <si>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</si>
  <si>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</si>
  <si>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</si>
  <si>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</si>
  <si>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</si>
  <si>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</si>
  <si>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</si>
  <si>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</si>
  <si>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</si>
  <si>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</si>
  <si>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</si>
  <si>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</si>
  <si>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</si>
  <si>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</si>
  <si>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</si>
  <si>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</si>
  <si>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</si>
  <si>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</si>
  <si>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</si>
  <si>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</si>
  <si>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</si>
  <si>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</si>
  <si>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</si>
  <si>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</si>
  <si>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</si>
  <si>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</si>
  <si>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</si>
  <si>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</si>
  <si>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</si>
  <si>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</si>
  <si>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</si>
  <si>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</si>
  <si>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</si>
  <si>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</si>
  <si>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</si>
  <si>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</si>
  <si>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</si>
  <si>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</si>
  <si>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</si>
  <si>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</si>
  <si>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</si>
  <si>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</si>
  <si>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</si>
  <si>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</si>
  <si>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</si>
  <si>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</si>
  <si>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</si>
  <si>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</si>
  <si>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</si>
  <si>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</si>
  <si>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</si>
  <si>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</si>
  <si>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</si>
  <si>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</si>
  <si>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</si>
  <si>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</si>
  <si>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</si>
  <si>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</si>
  <si>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</si>
  <si>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</si>
  <si>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</si>
  <si>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</si>
  <si>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</si>
  <si>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</si>
  <si>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</si>
  <si>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</si>
  <si>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</si>
  <si>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</si>
  <si>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</si>
  <si>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</si>
  <si>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</si>
  <si>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</si>
  <si>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</si>
  <si>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</si>
  <si>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</si>
  <si>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</si>
  <si>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</si>
  <si>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</si>
  <si>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</si>
  <si>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</si>
  <si>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</si>
  <si>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</si>
  <si>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</si>
  <si>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</si>
  <si>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</si>
  <si>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</si>
  <si>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</si>
  <si>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</si>
  <si>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</si>
  <si>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</si>
  <si>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</si>
  <si>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</si>
  <si>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</si>
  <si>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</si>
  <si>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</si>
  <si>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</si>
  <si>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</si>
  <si>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</si>
  <si>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</si>
  <si>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</si>
  <si>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</si>
  <si>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</si>
  <si>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</si>
  <si>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</si>
  <si>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</si>
  <si>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</si>
  <si>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</si>
  <si>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</si>
  <si>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</si>
  <si>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</si>
  <si>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</si>
  <si>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</si>
  <si>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</si>
  <si>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</si>
  <si>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</si>
  <si>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</si>
  <si>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</si>
  <si>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</si>
  <si>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</si>
  <si>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</si>
  <si>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</si>
  <si>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</si>
  <si>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</si>
  <si>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</si>
  <si>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</si>
  <si>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</si>
  <si>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</si>
  <si>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</si>
  <si>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</si>
  <si>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</si>
  <si>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</si>
  <si>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</si>
  <si>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</si>
  <si>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</si>
  <si>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</si>
  <si>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</si>
  <si>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</si>
  <si>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</si>
  <si>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</si>
  <si>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</si>
  <si>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</si>
  <si>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</si>
  <si>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</si>
  <si>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</si>
  <si>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</si>
  <si>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</si>
  <si>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</si>
  <si>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</si>
  <si>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</si>
  <si>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</si>
  <si>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</si>
  <si>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</si>
  <si>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</si>
  <si>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</si>
  <si>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</si>
  <si>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</si>
  <si>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</si>
  <si>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</si>
  <si>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</si>
  <si>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</si>
  <si>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</si>
  <si>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</si>
  <si>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</si>
  <si>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</si>
  <si>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</si>
  <si>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</si>
  <si>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</si>
  <si>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</si>
  <si>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</si>
  <si>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</si>
  <si>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</si>
  <si>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</si>
  <si>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</si>
  <si>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</si>
  <si>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</si>
  <si>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</si>
  <si>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</si>
  <si>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</si>
  <si>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</si>
  <si>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</si>
  <si>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</si>
  <si>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</si>
  <si>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</si>
  <si>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</si>
  <si>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</si>
  <si>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</si>
  <si>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</si>
  <si>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</si>
  <si>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</si>
  <si>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</si>
  <si>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</si>
  <si>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</si>
  <si>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</si>
  <si>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</si>
  <si>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</si>
  <si>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</si>
  <si>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</si>
  <si>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</si>
  <si>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</si>
  <si>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</si>
  <si>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</si>
  <si>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</si>
  <si>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</si>
  <si>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</si>
  <si>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</si>
  <si>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</si>
  <si>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</si>
  <si>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</si>
  <si>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</si>
  <si>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</si>
  <si>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</si>
  <si>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</si>
  <si>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</si>
  <si>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</si>
  <si>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</si>
  <si>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</si>
  <si>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</si>
  <si>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</si>
  <si>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</si>
  <si>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</si>
  <si>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</si>
  <si>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</si>
  <si>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</si>
  <si>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</si>
  <si>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</si>
  <si>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</si>
  <si>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</si>
  <si>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</si>
  <si>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</si>
  <si>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</si>
  <si>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</si>
  <si>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</si>
  <si>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</si>
  <si>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</si>
  <si>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</si>
  <si>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</si>
  <si>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</si>
  <si>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</si>
  <si>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</si>
  <si>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</si>
  <si>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</si>
  <si>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</si>
  <si>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</si>
  <si>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</si>
  <si>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</si>
  <si>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</si>
  <si>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</si>
  <si>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</si>
  <si>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</si>
  <si>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</si>
  <si>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</si>
  <si>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</si>
  <si>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</si>
  <si>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</si>
  <si>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</si>
  <si>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</si>
  <si>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</si>
  <si>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</si>
  <si>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</si>
  <si>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</si>
  <si>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</si>
  <si>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</si>
  <si>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</si>
  <si>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</si>
  <si>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</si>
  <si>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</si>
  <si>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</si>
  <si>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</si>
  <si>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</si>
  <si>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</si>
  <si>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</si>
  <si>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</si>
  <si>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</si>
  <si>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</si>
  <si>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</si>
  <si>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</si>
  <si>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</si>
  <si>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</si>
  <si>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</si>
  <si>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</si>
  <si>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</si>
  <si>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</si>
  <si>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</si>
  <si>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</si>
  <si>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</si>
  <si>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</si>
  <si>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</si>
  <si>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</si>
  <si>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</si>
  <si>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</si>
  <si>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</si>
  <si>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</si>
  <si>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</si>
  <si>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</si>
  <si>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</si>
  <si>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</si>
  <si>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</si>
  <si>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</si>
  <si>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</si>
  <si>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</si>
  <si>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</si>
  <si>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</si>
  <si>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</si>
  <si>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</si>
  <si>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</si>
  <si>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</si>
  <si>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</si>
  <si>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</si>
  <si>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</si>
  <si>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</si>
  <si>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</si>
  <si>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</si>
  <si>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</si>
  <si>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</si>
  <si>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</si>
  <si>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</si>
  <si>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</si>
  <si>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</si>
  <si>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</si>
  <si>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</si>
  <si>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</si>
  <si>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</si>
  <si>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</si>
  <si>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</si>
  <si>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</si>
  <si>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</si>
  <si>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</si>
  <si>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</si>
  <si>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</si>
  <si>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</si>
  <si>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</si>
  <si>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</si>
  <si>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</si>
  <si>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</si>
  <si>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</si>
  <si>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</si>
  <si>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</si>
  <si>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</si>
  <si>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</si>
  <si>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</si>
  <si>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</si>
  <si>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</si>
  <si>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</si>
  <si>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</si>
  <si>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</si>
  <si>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</si>
  <si>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</si>
  <si>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</si>
  <si>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</si>
  <si>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</si>
  <si>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</si>
  <si>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</si>
  <si>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</si>
  <si>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</si>
  <si>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</si>
  <si>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</si>
  <si>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</si>
  <si>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</si>
  <si>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</si>
  <si>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</si>
  <si>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</si>
  <si>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</si>
  <si>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</si>
  <si>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</si>
  <si>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</si>
  <si>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</si>
  <si>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</si>
  <si>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</si>
  <si>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</si>
  <si>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</si>
  <si>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</si>
  <si>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</si>
  <si>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</si>
  <si>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</si>
  <si>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</si>
  <si>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</si>
  <si>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</si>
  <si>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</si>
  <si>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</si>
  <si>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</si>
  <si>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</si>
  <si>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</si>
  <si>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</si>
  <si>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</si>
  <si>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</si>
  <si>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</si>
  <si>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</si>
  <si>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</si>
  <si>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</si>
  <si>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</si>
  <si>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</si>
  <si>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</si>
  <si>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</si>
  <si>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</si>
  <si>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</si>
  <si>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</si>
  <si>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</si>
  <si>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</si>
  <si>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</si>
  <si>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</si>
  <si>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</si>
  <si>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</si>
  <si>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</si>
  <si>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</si>
  <si>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</si>
  <si>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</si>
  <si>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</si>
  <si>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</si>
  <si>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</si>
  <si>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</si>
  <si>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</si>
  <si>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</si>
  <si>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</si>
  <si>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</si>
  <si>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</si>
  <si>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</si>
  <si>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</si>
  <si>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</si>
  <si>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</si>
  <si>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</si>
  <si>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</si>
  <si>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</si>
  <si>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</si>
  <si>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</si>
  <si>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</si>
  <si>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</si>
  <si>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</si>
  <si>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</si>
  <si>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</si>
  <si>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</si>
  <si>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</si>
  <si>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</si>
  <si>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</si>
  <si>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</si>
  <si>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</si>
  <si>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</si>
  <si>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</si>
  <si>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</si>
  <si>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</si>
  <si>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</si>
  <si>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</si>
  <si>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</si>
  <si>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</si>
  <si>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</si>
  <si>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</si>
  <si>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</si>
  <si>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</si>
  <si>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</si>
  <si>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</si>
  <si>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</si>
  <si>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</si>
  <si>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</si>
  <si>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</si>
  <si>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</si>
  <si>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</si>
  <si>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</si>
  <si>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</si>
  <si>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</si>
  <si>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</si>
  <si>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</si>
  <si>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</si>
  <si>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</si>
  <si>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</si>
  <si>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</si>
  <si>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</si>
  <si>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</si>
  <si>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</si>
  <si>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</si>
  <si>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</si>
  <si>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</si>
  <si>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</si>
  <si>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</si>
  <si>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</si>
  <si>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</si>
  <si>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</si>
  <si>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</si>
  <si>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</si>
  <si>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</si>
  <si>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</si>
  <si>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</si>
  <si>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</si>
  <si>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</si>
  <si>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</si>
  <si>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</si>
  <si>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</si>
  <si>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</si>
  <si>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</si>
  <si>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</si>
  <si>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</si>
  <si>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</si>
  <si>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</si>
  <si>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</si>
  <si>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</si>
  <si>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</si>
  <si>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</si>
  <si>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</si>
  <si>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</si>
  <si>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</si>
  <si>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</si>
  <si>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</si>
  <si>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</si>
  <si>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</si>
  <si>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</si>
  <si>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</si>
  <si>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</si>
  <si>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</si>
  <si>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</si>
  <si>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</si>
  <si>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</si>
  <si>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</si>
  <si>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</si>
  <si>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</si>
  <si>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</si>
  <si>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</si>
  <si>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</si>
  <si>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</si>
  <si>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</si>
  <si>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</si>
  <si>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</si>
  <si>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</si>
  <si>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</si>
  <si>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</si>
  <si>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</si>
  <si>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</si>
  <si>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</si>
  <si>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</si>
  <si>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</si>
  <si>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</si>
  <si>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</si>
  <si>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</si>
  <si>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</si>
  <si>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</si>
  <si>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</si>
  <si>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</si>
  <si>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</si>
  <si>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</si>
  <si>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</si>
  <si>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</si>
  <si>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</si>
  <si>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</si>
  <si>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</si>
  <si>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</si>
  <si>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</si>
  <si>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</si>
  <si>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</si>
  <si>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</si>
  <si>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</si>
  <si>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</si>
  <si>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</si>
  <si>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</si>
  <si>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</si>
  <si>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</si>
  <si>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</si>
  <si>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</si>
  <si>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</si>
  <si>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</si>
  <si>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</si>
  <si>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</si>
  <si>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</si>
  <si>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</si>
  <si>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</si>
  <si>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</si>
  <si>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</si>
  <si>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</si>
  <si>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</si>
  <si>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</si>
  <si>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</si>
  <si>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</si>
  <si>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</si>
  <si>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</si>
  <si>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</si>
  <si>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</si>
  <si>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</si>
  <si>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</si>
  <si>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</si>
  <si>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</si>
  <si>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</si>
  <si>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</si>
  <si>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</si>
  <si>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</si>
  <si>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</si>
  <si>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</si>
  <si>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</si>
  <si>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</si>
  <si>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</si>
  <si>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</si>
  <si>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</si>
  <si>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</si>
  <si>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</si>
  <si>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</si>
  <si>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</si>
  <si>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</si>
  <si>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</si>
  <si>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</si>
  <si>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</si>
  <si>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</si>
  <si>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</si>
  <si>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</si>
  <si>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</si>
  <si>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</si>
  <si>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</si>
  <si>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</si>
  <si>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</si>
  <si>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</si>
  <si>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</si>
  <si>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</si>
  <si>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</si>
  <si>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</si>
  <si>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</si>
  <si>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</si>
  <si>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</si>
  <si>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</si>
  <si>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</si>
  <si>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</si>
  <si>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</si>
  <si>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</si>
  <si>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</si>
  <si>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</si>
  <si>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</si>
  <si>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</si>
  <si>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</si>
  <si>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</si>
  <si>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</si>
  <si>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</si>
  <si>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</si>
  <si>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</si>
  <si>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</si>
  <si>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</si>
  <si>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</si>
  <si>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</si>
  <si>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</si>
  <si>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</si>
  <si>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</si>
  <si>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</si>
  <si>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</si>
  <si>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</si>
  <si>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</si>
  <si>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</si>
  <si>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</si>
  <si>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</si>
  <si>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</si>
  <si>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</si>
  <si>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</si>
  <si>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</si>
  <si>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</si>
  <si>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</si>
  <si>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</si>
  <si>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</si>
  <si>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</si>
  <si>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</si>
  <si>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</si>
  <si>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</si>
  <si>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</si>
  <si>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</si>
  <si>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</si>
  <si>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</si>
  <si>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</si>
  <si>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</si>
  <si>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</si>
  <si>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</si>
  <si>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</si>
  <si>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</si>
  <si>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</si>
  <si>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</si>
  <si>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</si>
  <si>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</si>
  <si>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</si>
  <si>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</si>
  <si>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</si>
  <si>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</si>
  <si>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</si>
  <si>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</si>
  <si>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</si>
  <si>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</si>
  <si>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</si>
  <si>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</si>
  <si>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</si>
  <si>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</si>
  <si>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</si>
  <si>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</si>
  <si>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</si>
  <si>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</si>
  <si>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</si>
  <si>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</si>
  <si>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</si>
  <si>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</si>
  <si>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</si>
  <si>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</si>
  <si>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</si>
  <si>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</si>
  <si>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</si>
  <si>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</si>
  <si>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</si>
  <si>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</si>
  <si>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</si>
  <si>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</si>
  <si>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</si>
  <si>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</si>
  <si>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</si>
  <si>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</si>
  <si>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</si>
  <si>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</si>
  <si>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</si>
  <si>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</si>
  <si>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</si>
  <si>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</si>
  <si>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</si>
  <si>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</si>
  <si>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</si>
  <si>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</si>
  <si>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</si>
  <si>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</si>
  <si>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</si>
  <si>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</si>
  <si>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</si>
  <si>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</si>
  <si>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</si>
  <si>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</si>
  <si>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</si>
  <si>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</si>
  <si>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</si>
  <si>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</si>
  <si>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</si>
  <si>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</si>
  <si>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</si>
  <si>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</si>
  <si>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</si>
  <si>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</si>
  <si>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</si>
  <si>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</si>
  <si>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</si>
  <si>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</si>
  <si>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</si>
  <si>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</si>
  <si>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</si>
  <si>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</si>
  <si>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</si>
  <si>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</si>
  <si>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</si>
  <si>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</si>
  <si>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</si>
  <si>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</si>
  <si>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</si>
  <si>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</si>
  <si>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</si>
  <si>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</si>
  <si>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</si>
  <si>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</si>
  <si>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</si>
  <si>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</si>
  <si>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</si>
  <si>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</si>
  <si>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</si>
  <si>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</si>
  <si>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</si>
  <si>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</si>
  <si>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</si>
  <si>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</si>
  <si>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</si>
  <si>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</si>
  <si>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</si>
  <si>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</si>
  <si>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</si>
  <si>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</si>
  <si>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</si>
  <si>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</si>
  <si>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</si>
  <si>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</si>
  <si>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</si>
  <si>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</si>
  <si>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</si>
  <si>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</si>
  <si>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</si>
  <si>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</si>
  <si>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</si>
  <si>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</si>
  <si>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</si>
  <si>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</si>
  <si>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</si>
  <si>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</si>
  <si>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</si>
  <si>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</si>
  <si>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</si>
  <si>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</si>
  <si>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</si>
  <si>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</si>
  <si>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</si>
  <si>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</si>
  <si>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</si>
  <si>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</si>
  <si>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</si>
  <si>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</si>
  <si>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</si>
  <si>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</si>
  <si>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</si>
  <si>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</si>
  <si>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</si>
  <si>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</si>
  <si>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</si>
  <si>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</si>
  <si>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</si>
  <si>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</si>
  <si>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</si>
  <si>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</si>
  <si>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</si>
  <si>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</si>
  <si>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</si>
  <si>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</si>
  <si>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</si>
  <si>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</si>
  <si>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</si>
  <si>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</si>
  <si>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</si>
  <si>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</si>
  <si>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</si>
  <si>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</si>
  <si>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</si>
  <si>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</si>
  <si>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</si>
  <si>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</si>
  <si>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</si>
  <si>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</si>
  <si>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</si>
  <si>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</si>
  <si>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</si>
  <si>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</si>
  <si>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</si>
  <si>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</si>
  <si>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</si>
  <si>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</si>
  <si>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</si>
  <si>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</si>
  <si>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</si>
  <si>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</si>
  <si>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</si>
  <si>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</si>
  <si>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</si>
  <si>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</si>
  <si>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</si>
  <si>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</si>
  <si>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</si>
  <si>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</si>
  <si>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</si>
  <si>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</si>
  <si>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</si>
  <si>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</si>
  <si>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</si>
  <si>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</si>
  <si>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</si>
  <si>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</si>
  <si>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</si>
  <si>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</si>
  <si>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</si>
  <si>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</si>
  <si>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</si>
  <si>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</si>
  <si>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</si>
  <si>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</si>
  <si>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</si>
  <si>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</si>
  <si>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</si>
  <si>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</si>
  <si>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</si>
  <si>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</si>
  <si>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</si>
  <si>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</si>
  <si>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</si>
  <si>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</si>
  <si>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</si>
  <si>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</si>
  <si>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</si>
  <si>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</si>
  <si>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</si>
  <si>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</si>
  <si>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</si>
  <si>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</si>
  <si>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</si>
  <si>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</si>
  <si>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</si>
  <si>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</si>
  <si>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</si>
  <si>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</si>
  <si>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</si>
  <si>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</si>
  <si>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</si>
  <si>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</si>
  <si>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</si>
  <si>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</si>
  <si>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</si>
  <si>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</si>
  <si>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</si>
  <si>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</si>
  <si>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</si>
  <si>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</si>
  <si>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</si>
  <si>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</si>
  <si>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</si>
  <si>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</si>
  <si>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</si>
  <si>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</si>
  <si>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</si>
  <si>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</si>
  <si>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</si>
  <si>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</si>
  <si>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</si>
  <si>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</si>
  <si>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</si>
  <si>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</si>
  <si>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</si>
  <si>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</si>
  <si>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</si>
  <si>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</si>
  <si>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</si>
  <si>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</si>
  <si>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</si>
  <si>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</si>
  <si>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</si>
  <si>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</si>
  <si>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</si>
  <si>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</si>
  <si>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</si>
  <si>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</si>
  <si>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</si>
  <si>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</si>
  <si>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</si>
  <si>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</si>
  <si>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</si>
  <si>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</si>
  <si>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</si>
  <si>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</si>
  <si>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</si>
  <si>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</si>
  <si>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</si>
  <si>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</si>
  <si>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</si>
  <si>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</si>
  <si>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</si>
  <si>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</si>
  <si>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</si>
  <si>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</si>
  <si>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</si>
  <si>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</si>
  <si>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</si>
  <si>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</si>
  <si>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</si>
  <si>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</si>
  <si>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</si>
  <si>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</si>
  <si>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</si>
  <si>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</si>
  <si>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</si>
  <si>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</si>
  <si>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</si>
  <si>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</si>
  <si>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</si>
  <si>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</si>
  <si>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</si>
  <si>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</si>
  <si>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</si>
  <si>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</si>
  <si>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</si>
  <si>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</si>
  <si>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</si>
  <si>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</si>
  <si>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</si>
  <si>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</si>
  <si>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</si>
  <si>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</si>
  <si>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</si>
  <si>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</si>
  <si>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</si>
  <si>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</si>
  <si>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</si>
  <si>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</si>
  <si>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</si>
  <si>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</si>
  <si>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</si>
  <si>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</si>
  <si>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</si>
  <si>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</si>
  <si>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</si>
  <si>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</si>
  <si>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</si>
  <si>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</si>
  <si>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</si>
  <si>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</si>
  <si>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</si>
  <si>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</si>
  <si>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</si>
  <si>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</si>
  <si>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</si>
  <si>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</si>
  <si>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</si>
  <si>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</si>
  <si>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</si>
  <si>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</si>
  <si>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</si>
  <si>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</si>
  <si>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</si>
  <si>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</si>
  <si>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</si>
  <si>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</si>
  <si>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</si>
  <si>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</si>
  <si>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</si>
  <si>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</si>
  <si>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</si>
  <si>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</si>
  <si>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</si>
  <si>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</si>
  <si>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</si>
  <si>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</si>
  <si>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</si>
  <si>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</si>
  <si>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</si>
  <si>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</si>
  <si>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</si>
  <si>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</si>
  <si>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</si>
  <si>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</si>
  <si>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</si>
  <si>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</si>
  <si>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</si>
  <si>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</si>
  <si>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</si>
  <si>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</si>
  <si>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</si>
  <si>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</si>
  <si>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</si>
  <si>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</si>
  <si>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</si>
  <si>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</si>
  <si>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</si>
  <si>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</si>
  <si>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</si>
  <si>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</si>
  <si>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</si>
  <si>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</si>
  <si>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</si>
  <si>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</si>
  <si>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</si>
  <si>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</si>
  <si>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</si>
  <si>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</si>
  <si>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</si>
  <si>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</si>
  <si>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</si>
  <si>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</si>
  <si>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</si>
  <si>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</si>
  <si>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</si>
  <si>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</si>
  <si>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</si>
  <si>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</si>
  <si>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</si>
  <si>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</si>
  <si>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</si>
  <si>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</si>
  <si>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</si>
  <si>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</si>
  <si>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</si>
  <si>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</si>
  <si>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</si>
  <si>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</si>
  <si>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</si>
  <si>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</si>
  <si>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</si>
  <si>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</si>
  <si>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</si>
  <si>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</si>
  <si>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</si>
  <si>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</si>
  <si>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</si>
  <si>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</si>
  <si>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</si>
  <si>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</si>
  <si>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</si>
  <si>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</si>
  <si>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</si>
  <si>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</si>
  <si>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</si>
  <si>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</si>
  <si>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</si>
  <si>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</si>
  <si>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</si>
  <si>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</si>
  <si>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</si>
  <si>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</si>
  <si>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</si>
  <si>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</si>
  <si>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</si>
  <si>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</si>
  <si>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</si>
  <si>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</si>
  <si>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</si>
  <si>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</si>
  <si>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</si>
  <si>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</si>
  <si>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</si>
  <si>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</si>
  <si>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</si>
  <si>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</si>
  <si>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</si>
  <si>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</si>
  <si>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</si>
  <si>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</si>
  <si>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</si>
  <si>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</si>
  <si>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</si>
  <si>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</si>
  <si>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</si>
  <si>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</si>
  <si>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</si>
  <si>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</si>
  <si>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</si>
  <si>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</si>
  <si>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</si>
  <si>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</si>
  <si>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</si>
  <si>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</si>
  <si>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</si>
  <si>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</si>
  <si>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</si>
  <si>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</si>
  <si>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</si>
  <si>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</si>
  <si>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</si>
  <si>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</si>
  <si>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</si>
  <si>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</si>
  <si>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</si>
  <si>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</si>
  <si>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</si>
  <si>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</si>
  <si>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</si>
  <si>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</si>
  <si>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</si>
  <si>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</si>
  <si>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</si>
  <si>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</si>
  <si>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</si>
  <si>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</si>
  <si>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</si>
  <si>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</si>
  <si>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</si>
  <si>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</si>
  <si>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</si>
  <si>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</si>
  <si>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</si>
  <si>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</si>
  <si>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</si>
  <si>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</si>
  <si>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</si>
  <si>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</si>
  <si>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</si>
  <si>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</si>
  <si>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</si>
  <si>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</si>
  <si>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</si>
  <si>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</si>
  <si>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</si>
  <si>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</si>
  <si>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</si>
  <si>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</si>
  <si>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</si>
  <si>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</si>
  <si>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</si>
  <si>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</si>
  <si>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</si>
  <si>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</si>
  <si>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</si>
  <si>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</si>
  <si>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</si>
  <si>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</si>
  <si>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</si>
  <si>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</si>
  <si>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</si>
  <si>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</si>
  <si>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</si>
  <si>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</si>
  <si>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</si>
  <si>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</si>
  <si>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</si>
  <si>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</si>
  <si>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</si>
  <si>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</si>
  <si>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</si>
  <si>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</si>
  <si>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</si>
  <si>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</si>
  <si>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</si>
  <si>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</si>
  <si>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</si>
  <si>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</si>
  <si>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</si>
  <si>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</si>
  <si>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</si>
  <si>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</si>
  <si>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</si>
  <si>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</si>
  <si>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</si>
  <si>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</si>
  <si>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</si>
  <si>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</si>
  <si>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</si>
  <si>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</si>
  <si>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</si>
  <si>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</si>
  <si>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</si>
  <si>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</si>
  <si>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</si>
  <si>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</si>
  <si>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</si>
  <si>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</si>
  <si>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</si>
  <si>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</si>
  <si>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</si>
  <si>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</si>
  <si>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</si>
  <si>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</si>
  <si>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</si>
  <si>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</si>
  <si>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</si>
  <si>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</si>
  <si>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</si>
  <si>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</si>
  <si>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</si>
  <si>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</si>
  <si>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</si>
  <si>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</si>
  <si>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</si>
  <si>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</si>
  <si>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</si>
  <si>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</si>
  <si>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</si>
  <si>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</si>
  <si>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</si>
  <si>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</si>
  <si>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</si>
  <si>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</si>
  <si>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</si>
  <si>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</si>
  <si>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</si>
  <si>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</si>
  <si>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</si>
  <si>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</si>
  <si>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</si>
  <si>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</si>
  <si>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</si>
  <si>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</si>
  <si>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</si>
  <si>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</si>
  <si>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</si>
  <si>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</si>
  <si>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</si>
  <si>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</si>
  <si>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</si>
  <si>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</si>
  <si>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</si>
  <si>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</si>
  <si>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</si>
  <si>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</si>
  <si>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</si>
  <si>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</si>
  <si>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</si>
  <si>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</si>
  <si>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</si>
  <si>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</si>
  <si>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</si>
  <si>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</si>
  <si>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</si>
  <si>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</si>
  <si>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</si>
  <si>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</si>
  <si>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</si>
  <si>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</si>
  <si>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</si>
  <si>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</si>
  <si>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</si>
  <si>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</si>
  <si>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</si>
  <si>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</si>
  <si>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</si>
  <si>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</si>
  <si>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</si>
  <si>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</si>
  <si>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</si>
  <si>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</si>
  <si>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</si>
  <si>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</si>
  <si>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</si>
  <si>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</si>
  <si>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</si>
  <si>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</si>
  <si>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</si>
  <si>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</si>
  <si>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</si>
  <si>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</si>
  <si>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</si>
  <si>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</si>
  <si>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</si>
  <si>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</si>
  <si>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</si>
  <si>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</si>
  <si>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</si>
  <si>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</si>
  <si>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</si>
  <si>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</si>
  <si>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</si>
  <si>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</si>
  <si>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</si>
  <si>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</si>
  <si>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</si>
  <si>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</si>
  <si>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</si>
  <si>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</si>
  <si>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</si>
  <si>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</si>
  <si>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</si>
  <si>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</si>
  <si>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</si>
  <si>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</si>
  <si>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</si>
  <si>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</si>
  <si>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</si>
  <si>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</si>
  <si>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</si>
  <si>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</si>
  <si>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</si>
  <si>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</si>
  <si>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</si>
  <si>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</si>
  <si>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</si>
  <si>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</si>
  <si>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</si>
  <si>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</si>
  <si>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</si>
  <si>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</si>
  <si>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</si>
  <si>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</si>
  <si>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</si>
  <si>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</si>
  <si>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</si>
  <si>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</si>
  <si>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</si>
  <si>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</si>
  <si>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</si>
  <si>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</si>
  <si>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</si>
  <si>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</si>
  <si>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</si>
  <si>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</si>
  <si>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</si>
  <si>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</si>
  <si>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</si>
  <si>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</si>
  <si>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</si>
  <si>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</si>
  <si>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</si>
  <si>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</si>
  <si>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</si>
  <si>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</si>
  <si>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</si>
  <si>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</si>
  <si>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</si>
  <si>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</si>
  <si>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</si>
  <si>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</si>
  <si>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</si>
  <si>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</si>
  <si>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</si>
  <si>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</si>
  <si>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</si>
  <si>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</si>
  <si>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</si>
  <si>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</si>
  <si>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</si>
  <si>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</si>
  <si>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</si>
  <si>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</si>
  <si>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</si>
  <si>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</si>
  <si>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</si>
  <si>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</si>
  <si>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</si>
  <si>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</si>
  <si>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</si>
  <si>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</si>
  <si>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</si>
  <si>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</si>
  <si>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</si>
  <si>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</si>
  <si>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</si>
  <si>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</si>
  <si>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</si>
  <si>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</si>
  <si>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</si>
  <si>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</si>
  <si>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</si>
  <si>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</si>
  <si>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</si>
  <si>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</si>
  <si>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</si>
  <si>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</si>
  <si>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</si>
  <si>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</si>
  <si>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</si>
  <si>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</si>
  <si>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</si>
  <si>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</si>
  <si>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</si>
  <si>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</si>
  <si>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</si>
  <si>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</si>
  <si>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</si>
  <si>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</si>
  <si>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</si>
  <si>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</si>
  <si>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</si>
  <si>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</si>
  <si>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</si>
  <si>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</si>
  <si>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</si>
  <si>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</si>
  <si>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</si>
  <si>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</si>
  <si>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</si>
  <si>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</si>
  <si>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</si>
  <si>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</si>
  <si>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</si>
  <si>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</si>
  <si>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</si>
  <si>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</si>
  <si>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</si>
  <si>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</si>
  <si>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</si>
  <si>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</si>
  <si>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</si>
  <si>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</si>
  <si>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</si>
  <si>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</si>
  <si>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</si>
  <si>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</si>
  <si>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</si>
  <si>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</si>
  <si>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</si>
  <si>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</si>
  <si>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</si>
  <si>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</si>
  <si>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</si>
  <si>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</si>
  <si>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</si>
  <si>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</si>
  <si>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</si>
  <si>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</si>
  <si>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</si>
  <si>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</si>
  <si>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</si>
  <si>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</si>
  <si>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</si>
  <si>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</si>
  <si>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</si>
  <si>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</si>
  <si>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</si>
  <si>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</si>
  <si>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</si>
  <si>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</si>
  <si>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</si>
  <si>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</si>
  <si>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</si>
  <si>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</si>
  <si>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</si>
  <si>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</si>
  <si>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</si>
  <si>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</si>
  <si>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</si>
  <si>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</si>
  <si>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</si>
  <si>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</si>
  <si>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</si>
  <si>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</si>
  <si>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</si>
  <si>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</si>
  <si>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</si>
  <si>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</si>
  <si>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</si>
  <si>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</si>
  <si>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</si>
  <si>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</si>
  <si>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</si>
  <si>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</si>
  <si>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</si>
  <si>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</si>
  <si>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</si>
  <si>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</si>
  <si>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</si>
  <si>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</si>
  <si>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</si>
  <si>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</si>
  <si>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</si>
  <si>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</si>
  <si>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</si>
  <si>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</si>
  <si>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</si>
  <si>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</si>
  <si>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</si>
  <si>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</si>
  <si>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</si>
  <si>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</si>
  <si>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</si>
  <si>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</si>
  <si>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</si>
  <si>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</si>
  <si>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</si>
  <si>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</si>
  <si>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</si>
  <si>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</si>
  <si>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</si>
  <si>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</si>
  <si>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</si>
  <si>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</si>
  <si>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</si>
  <si>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</si>
  <si>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</si>
  <si>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</si>
  <si>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</si>
  <si>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</si>
  <si>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</si>
  <si>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</si>
  <si>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</si>
  <si>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</si>
  <si>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</si>
  <si>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</si>
  <si>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</si>
  <si>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</si>
  <si>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</si>
  <si>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</si>
  <si>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</si>
  <si>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</si>
  <si>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</si>
  <si>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</si>
  <si>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</si>
  <si>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</si>
  <si>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</si>
  <si>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</si>
  <si>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</si>
  <si>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</si>
  <si>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</si>
  <si>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</si>
  <si>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</si>
  <si>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</si>
  <si>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</si>
  <si>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</si>
  <si>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</si>
  <si>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</si>
  <si>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</si>
  <si>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</si>
  <si>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</si>
  <si>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</si>
  <si>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</si>
  <si>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</si>
  <si>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</si>
  <si>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</si>
  <si>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</si>
  <si>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</si>
  <si>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</si>
  <si>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</si>
  <si>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</si>
  <si>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</si>
  <si>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</si>
  <si>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</si>
  <si>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</si>
  <si>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</si>
  <si>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</si>
  <si>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</si>
  <si>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</si>
  <si>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</si>
  <si>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</si>
  <si>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</si>
  <si>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</si>
  <si>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</si>
  <si>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</si>
  <si>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</si>
  <si>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</si>
  <si>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</si>
  <si>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</si>
  <si>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</si>
  <si>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</si>
  <si>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</si>
  <si>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</si>
  <si>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</si>
  <si>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</si>
  <si>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</si>
  <si>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</si>
  <si>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</si>
  <si>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</si>
  <si>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</si>
  <si>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</si>
  <si>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</si>
  <si>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</si>
  <si>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</si>
  <si>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</si>
  <si>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</si>
  <si>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</si>
  <si>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</si>
  <si>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</si>
  <si>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</si>
  <si>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</si>
  <si>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</si>
  <si>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</si>
  <si>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</si>
  <si>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</si>
  <si>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</si>
  <si>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</si>
  <si>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</si>
  <si>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</si>
  <si>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</si>
  <si>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</si>
  <si>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</si>
  <si>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</si>
  <si>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</si>
  <si>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</si>
  <si>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</si>
  <si>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</si>
  <si>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</si>
  <si>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</si>
  <si>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</si>
  <si>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</si>
  <si>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</si>
  <si>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</si>
  <si>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</si>
  <si>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</si>
  <si>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</si>
  <si>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</si>
  <si>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</si>
  <si>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</si>
  <si>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</si>
  <si>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</si>
  <si>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</si>
  <si>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</si>
  <si>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</si>
  <si>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</si>
  <si>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</si>
  <si>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</si>
  <si>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</si>
  <si>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</si>
  <si>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</si>
  <si>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</si>
  <si>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</si>
  <si>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</si>
  <si>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</si>
  <si>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</si>
  <si>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</si>
  <si>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</si>
  <si>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</si>
  <si>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</si>
  <si>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</si>
  <si>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</si>
  <si>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</si>
  <si>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</si>
  <si>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</si>
  <si>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</si>
  <si>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</si>
  <si>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</si>
  <si>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</si>
  <si>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</si>
  <si>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</si>
  <si>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</si>
  <si>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</si>
  <si>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</si>
  <si>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</si>
  <si>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</si>
  <si>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</si>
  <si>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</si>
  <si>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</si>
  <si>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</si>
  <si>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</si>
  <si>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</si>
  <si>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</si>
  <si>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</si>
  <si>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</si>
  <si>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</si>
  <si>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</si>
  <si>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</si>
  <si>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</si>
  <si>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</si>
  <si>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</si>
  <si>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</si>
  <si>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</si>
  <si>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</si>
  <si>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</si>
  <si>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</si>
  <si>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</si>
  <si>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</si>
  <si>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</si>
  <si>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</si>
  <si>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</si>
  <si>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</si>
  <si>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</si>
  <si>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</si>
  <si>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</si>
  <si>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</si>
  <si>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</si>
  <si>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</si>
  <si>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</si>
  <si>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</si>
  <si>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</si>
  <si>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</si>
  <si>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</si>
  <si>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</si>
  <si>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</si>
  <si>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</si>
  <si>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</si>
  <si>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</si>
  <si>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</si>
  <si>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</si>
  <si>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</si>
  <si>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</si>
  <si>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</si>
  <si>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</si>
  <si>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</si>
  <si>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</si>
  <si>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</si>
  <si>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</si>
  <si>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</si>
  <si>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</si>
  <si>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</si>
  <si>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</si>
  <si>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</si>
  <si>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</si>
  <si>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</si>
  <si>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</si>
  <si>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</si>
  <si>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</si>
  <si>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</si>
  <si>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</si>
  <si>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</si>
  <si>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</si>
  <si>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</si>
  <si>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</si>
  <si>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</si>
  <si>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</si>
  <si>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</si>
  <si>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</si>
  <si>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</si>
  <si>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</si>
  <si>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</si>
  <si>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</si>
  <si>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</si>
  <si>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</si>
  <si>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</si>
  <si>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</si>
  <si>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</si>
  <si>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</si>
  <si>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</si>
  <si>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</si>
  <si>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</si>
  <si>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</si>
  <si>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</si>
  <si>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</si>
  <si>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</si>
  <si>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</si>
  <si>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</si>
  <si>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</si>
  <si>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</si>
  <si>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</si>
  <si>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</si>
  <si>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</si>
  <si>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</si>
  <si>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</si>
  <si>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</si>
  <si>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</si>
  <si>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</si>
  <si>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</si>
  <si>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</si>
  <si>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</si>
  <si>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</si>
  <si>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</si>
  <si>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</si>
  <si>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</si>
  <si>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</si>
  <si>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</si>
  <si>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</si>
  <si>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</si>
  <si>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</si>
  <si>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</si>
  <si>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</si>
  <si>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</si>
  <si>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</si>
  <si>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</si>
  <si>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</si>
  <si>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</si>
  <si>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</si>
  <si>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</si>
  <si>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</si>
  <si>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</si>
  <si>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</si>
  <si>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</si>
  <si>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</si>
  <si>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</si>
  <si>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</si>
  <si>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</si>
  <si>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</si>
  <si>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</si>
  <si>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</si>
  <si>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</si>
  <si>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</si>
  <si>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</si>
  <si>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</si>
  <si>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</si>
  <si>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</si>
  <si>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</si>
  <si>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</si>
  <si>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</si>
  <si>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</si>
  <si>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</si>
  <si>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</si>
  <si>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</si>
  <si>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</si>
  <si>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</si>
  <si>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</si>
  <si>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</si>
  <si>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</si>
  <si>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</si>
  <si>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</si>
  <si>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</si>
  <si>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</si>
  <si>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</si>
  <si>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</si>
  <si>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</si>
  <si>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</si>
  <si>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</si>
  <si>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</si>
  <si>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</si>
  <si>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</si>
  <si>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</si>
  <si>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</si>
  <si>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</si>
  <si>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</si>
  <si>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</si>
  <si>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</si>
  <si>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</si>
  <si>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</si>
  <si>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</si>
  <si>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</si>
  <si>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</si>
  <si>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</si>
  <si>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</si>
  <si>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</si>
  <si>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</si>
  <si>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</si>
  <si>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</si>
  <si>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</si>
  <si>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</si>
  <si>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</si>
  <si>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</si>
  <si>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</si>
  <si>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</si>
  <si>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</si>
  <si>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</si>
  <si>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</si>
  <si>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</si>
  <si>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</si>
  <si>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</si>
  <si>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</si>
  <si>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</si>
  <si>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</si>
  <si>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</si>
  <si>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</si>
  <si>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</si>
  <si>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</si>
  <si>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</si>
  <si>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</si>
  <si>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</si>
  <si>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</si>
  <si>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</si>
  <si>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</si>
  <si>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</si>
  <si>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</si>
  <si>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</si>
  <si>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</si>
  <si>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</si>
  <si>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</si>
  <si>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</si>
  <si>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</si>
  <si>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</si>
  <si>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</si>
  <si>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</si>
  <si>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</si>
  <si>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</si>
  <si>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</si>
  <si>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</si>
  <si>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</si>
  <si>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</si>
  <si>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</si>
  <si>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</si>
  <si>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</si>
  <si>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</si>
  <si>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</si>
  <si>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</si>
  <si>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</si>
  <si>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</si>
  <si>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</si>
  <si>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</si>
  <si>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</si>
  <si>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</si>
  <si>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</si>
  <si>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</si>
  <si>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</si>
  <si>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</si>
  <si>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</si>
  <si>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</si>
  <si>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</si>
  <si>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</si>
  <si>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</si>
  <si>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</si>
  <si>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</si>
  <si>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</si>
  <si>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</si>
  <si>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</si>
  <si>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</si>
  <si>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</si>
  <si>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</si>
  <si>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</si>
  <si>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</si>
  <si>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</si>
  <si>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</si>
  <si>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</si>
  <si>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</si>
  <si>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</si>
  <si>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</si>
  <si>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</si>
  <si>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</si>
  <si>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</si>
  <si>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</si>
  <si>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</si>
  <si>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</si>
  <si>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</si>
  <si>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</si>
  <si>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</si>
  <si>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</si>
  <si>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</si>
  <si>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</si>
  <si>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</si>
  <si>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</si>
  <si>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</si>
  <si>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</si>
  <si>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</si>
  <si>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</si>
  <si>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</si>
  <si>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</si>
  <si>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</si>
  <si>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</si>
  <si>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</si>
  <si>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</si>
  <si>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</si>
  <si>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</si>
  <si>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</si>
  <si>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</si>
  <si>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</si>
  <si>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</si>
  <si>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</si>
  <si>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</si>
  <si>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</si>
  <si>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</si>
  <si>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</si>
  <si>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</si>
  <si>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</si>
  <si>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</si>
  <si>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</si>
  <si>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</si>
  <si>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</si>
  <si>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</si>
  <si>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</si>
  <si>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</si>
  <si>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</si>
  <si>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</si>
  <si>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</si>
  <si>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</si>
  <si>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</si>
  <si>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</si>
  <si>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</si>
  <si>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</si>
  <si>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</si>
  <si>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</si>
  <si>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</si>
  <si>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</si>
  <si>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</si>
  <si>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</si>
  <si>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</si>
  <si>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</si>
  <si>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</si>
  <si>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</si>
  <si>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</si>
  <si>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</si>
  <si>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</si>
  <si>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</si>
  <si>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</si>
  <si>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</si>
  <si>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</si>
  <si>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</si>
  <si>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</si>
  <si>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</si>
  <si>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</si>
  <si>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</si>
  <si>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</si>
  <si>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</si>
  <si>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</si>
  <si>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</si>
  <si>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</si>
  <si>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</si>
  <si>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</si>
  <si>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</si>
  <si>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</si>
  <si>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</si>
  <si>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</si>
  <si>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</si>
  <si>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</si>
  <si>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</si>
  <si>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</si>
  <si>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</si>
  <si>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</si>
  <si>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</si>
  <si>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</si>
  <si>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</si>
  <si>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</si>
  <si>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</si>
  <si>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</si>
  <si>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</si>
  <si>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</si>
  <si>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</si>
  <si>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</si>
  <si>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</si>
  <si>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</si>
  <si>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</si>
  <si>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</si>
  <si>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</si>
  <si>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</si>
  <si>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</si>
  <si>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</si>
  <si>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</si>
  <si>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</si>
  <si>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</si>
  <si>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</si>
  <si>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</si>
  <si>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</si>
  <si>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</si>
  <si>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</si>
  <si>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</si>
  <si>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</si>
  <si>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</si>
  <si>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</si>
  <si>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</si>
  <si>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</si>
  <si>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</si>
  <si>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</si>
  <si>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</si>
  <si>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</si>
  <si>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</si>
  <si>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</si>
  <si>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</si>
  <si>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</si>
  <si>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</si>
  <si>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</si>
  <si>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</si>
  <si>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</si>
  <si>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</si>
  <si>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</si>
  <si>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</si>
  <si>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</si>
  <si>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</si>
  <si>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</si>
  <si>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</si>
  <si>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</si>
  <si>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</si>
  <si>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</si>
  <si>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</si>
  <si>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</si>
  <si>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</si>
  <si>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</si>
  <si>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</si>
  <si>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</si>
  <si>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</si>
  <si>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</si>
  <si>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</si>
  <si>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</si>
  <si>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</si>
  <si>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</si>
  <si>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</si>
  <si>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</si>
  <si>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</si>
  <si>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</si>
  <si>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</si>
  <si>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</si>
  <si>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</si>
  <si>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</si>
  <si>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</si>
  <si>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</si>
  <si>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</si>
  <si>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</si>
  <si>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</si>
  <si>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</si>
  <si>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</si>
  <si>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</si>
  <si>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</si>
  <si>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</si>
  <si>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</si>
  <si>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</si>
  <si>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</si>
  <si>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</si>
  <si>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</si>
  <si>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</si>
  <si>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</si>
  <si>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</si>
  <si>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</si>
  <si>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</si>
  <si>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</si>
  <si>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</si>
  <si>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</si>
  <si>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</si>
  <si>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</si>
  <si>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</si>
  <si>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</si>
  <si>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</si>
  <si>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</si>
  <si>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</si>
  <si>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</si>
  <si>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</si>
  <si>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</si>
  <si>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</si>
  <si>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</si>
  <si>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</si>
  <si>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</si>
  <si>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</si>
  <si>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</si>
  <si>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</si>
  <si>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</si>
  <si>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</si>
  <si>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</si>
  <si>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</si>
  <si>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</si>
  <si>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</si>
  <si>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</si>
  <si>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</si>
  <si>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</si>
  <si>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</si>
  <si>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</si>
  <si>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</si>
  <si>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</si>
  <si>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</si>
  <si>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</si>
  <si>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</si>
  <si>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</si>
  <si>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</si>
  <si>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</si>
  <si>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</si>
  <si>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</si>
  <si>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</si>
  <si>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</si>
  <si>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</si>
  <si>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</si>
  <si>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</si>
  <si>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</si>
  <si>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</si>
  <si>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</si>
  <si>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</si>
  <si>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</si>
  <si>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</si>
  <si>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</si>
  <si>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</si>
  <si>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</si>
  <si>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</si>
  <si>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</si>
  <si>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</si>
  <si>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</si>
  <si>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</si>
  <si>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</si>
  <si>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</si>
  <si>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</si>
  <si>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</si>
  <si>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</si>
  <si>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</si>
  <si>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</si>
  <si>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</si>
  <si>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</si>
  <si>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</si>
  <si>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</si>
  <si>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</si>
  <si>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</si>
  <si>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</si>
  <si>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</si>
  <si>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</si>
  <si>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</si>
  <si>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</si>
  <si>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</si>
  <si>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</si>
  <si>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</si>
  <si>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</si>
  <si>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</si>
  <si>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</si>
  <si>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</si>
  <si>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</si>
  <si>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</si>
  <si>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</si>
  <si>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</si>
  <si>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</si>
  <si>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</si>
  <si>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</si>
  <si>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</si>
  <si>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</si>
  <si>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</si>
  <si>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</si>
  <si>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</si>
  <si>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</si>
  <si>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</si>
  <si>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</si>
  <si>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</si>
  <si>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</si>
  <si>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</si>
  <si>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</si>
  <si>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</si>
  <si>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</si>
  <si>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</si>
  <si>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</si>
  <si>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</si>
  <si>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</si>
  <si>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</si>
  <si>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</si>
  <si>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</si>
  <si>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</si>
  <si>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</si>
  <si>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</si>
  <si>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</si>
  <si>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</si>
  <si>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</si>
  <si>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</si>
  <si>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</si>
  <si>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</si>
  <si>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</si>
  <si>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</si>
  <si>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</si>
  <si>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</si>
  <si>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</si>
  <si>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</si>
  <si>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</si>
  <si>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</si>
  <si>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</si>
  <si>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</si>
  <si>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</si>
  <si>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</si>
  <si>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</si>
  <si>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</si>
  <si>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</si>
  <si>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</si>
  <si>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</si>
  <si>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</si>
  <si>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</si>
  <si>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</si>
  <si>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</si>
  <si>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</si>
  <si>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</si>
  <si>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</si>
  <si>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</si>
  <si>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</si>
  <si>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</si>
  <si>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</si>
  <si>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</si>
  <si>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</si>
  <si>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</si>
  <si>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</si>
  <si>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</si>
  <si>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</si>
  <si>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</si>
  <si>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</si>
  <si>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</si>
  <si>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</si>
  <si>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</si>
  <si>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</si>
  <si>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</si>
  <si>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</si>
  <si>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</si>
  <si>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</si>
  <si>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</si>
  <si>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</si>
  <si>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</si>
  <si>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</si>
  <si>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</si>
  <si>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</si>
  <si>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</si>
  <si>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</si>
  <si>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</si>
  <si>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</si>
  <si>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</si>
  <si>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</si>
  <si>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</si>
  <si>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</si>
  <si>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</si>
  <si>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</si>
  <si>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</si>
  <si>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</si>
  <si>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</si>
  <si>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</si>
  <si>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</si>
  <si>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</si>
  <si>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</si>
  <si>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</si>
  <si>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</si>
  <si>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</si>
  <si>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</si>
  <si>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</si>
  <si>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</si>
  <si>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</si>
  <si>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</si>
  <si>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</si>
  <si>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</si>
  <si>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</si>
  <si>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</si>
  <si>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</si>
  <si>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</si>
  <si>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</si>
  <si>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</si>
  <si>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</si>
  <si>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</si>
  <si>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</si>
  <si>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</si>
  <si>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</si>
  <si>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</si>
  <si>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</si>
  <si>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</si>
  <si>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</si>
  <si>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</si>
  <si>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</si>
  <si>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</si>
  <si>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</si>
  <si>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</si>
  <si>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</si>
  <si>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</si>
  <si>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</si>
  <si>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</si>
  <si>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</si>
  <si>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</si>
  <si>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</si>
  <si>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</si>
  <si>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</si>
  <si>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</si>
  <si>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</si>
  <si>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</si>
  <si>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</si>
  <si>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</si>
  <si>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</si>
  <si>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</si>
  <si>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</si>
  <si>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</si>
  <si>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</si>
  <si>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</si>
  <si>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</si>
  <si>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</si>
  <si>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</si>
  <si>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</si>
  <si>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</si>
  <si>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</si>
  <si>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</si>
  <si>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</si>
  <si>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</si>
  <si>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</si>
  <si>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</si>
  <si>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</si>
  <si>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</si>
  <si>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</si>
  <si>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</si>
  <si>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</si>
  <si>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</si>
  <si>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</si>
  <si>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</si>
  <si>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</si>
  <si>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</si>
  <si>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</si>
  <si>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</si>
  <si>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</si>
  <si>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</si>
  <si>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</si>
  <si>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</si>
  <si>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</si>
  <si>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</si>
  <si>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</si>
  <si>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</si>
  <si>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</si>
  <si>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</si>
  <si>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</si>
  <si>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</si>
  <si>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</si>
  <si>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</si>
  <si>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</si>
  <si>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</si>
  <si>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</si>
  <si>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</si>
  <si>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</si>
  <si>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</si>
  <si>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</si>
  <si>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</si>
  <si>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</si>
  <si>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</si>
  <si>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</si>
  <si>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</si>
  <si>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</si>
  <si>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</si>
  <si>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</si>
  <si>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</si>
  <si>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</si>
  <si>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</si>
  <si>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</si>
  <si>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</si>
  <si>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</si>
  <si>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</si>
  <si>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</si>
  <si>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</si>
  <si>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</si>
  <si>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</si>
  <si>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</si>
  <si>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</si>
  <si>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</si>
  <si>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</si>
  <si>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</si>
  <si>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</si>
  <si>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</si>
  <si>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</si>
  <si>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</si>
  <si>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</si>
  <si>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</si>
  <si>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</si>
  <si>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</si>
  <si>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</si>
  <si>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</si>
  <si>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</si>
  <si>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</si>
  <si>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</si>
  <si>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</si>
  <si>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</si>
  <si>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</si>
  <si>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</si>
  <si>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</si>
  <si>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</si>
  <si>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</si>
  <si>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</si>
  <si>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</si>
  <si>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</si>
  <si>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</si>
  <si>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</si>
  <si>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</si>
  <si>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</si>
  <si>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</si>
  <si>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</si>
  <si>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</si>
  <si>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</si>
  <si>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</si>
  <si>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</si>
  <si>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</si>
  <si>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</si>
  <si>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</si>
  <si>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</si>
  <si>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</si>
  <si>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</si>
  <si>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</si>
  <si>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</si>
  <si>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</si>
  <si>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</si>
  <si>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</si>
  <si>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</si>
  <si>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</si>
  <si>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</si>
  <si>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</si>
  <si>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</si>
  <si>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</si>
  <si>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</si>
  <si>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</si>
  <si>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</si>
  <si>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</si>
  <si>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</si>
  <si>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</si>
  <si>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</si>
  <si>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</si>
  <si>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</si>
  <si>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</si>
  <si>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</si>
  <si>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</si>
  <si>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</si>
  <si>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</si>
  <si>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</si>
  <si>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</si>
  <si>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</si>
  <si>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</si>
  <si>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</si>
  <si>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</si>
  <si>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</si>
  <si>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</si>
  <si>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</si>
  <si>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</si>
  <si>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</si>
  <si>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</si>
  <si>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</si>
  <si>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</si>
  <si>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</si>
  <si>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</si>
  <si>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</si>
  <si>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</si>
  <si>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</si>
  <si>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</si>
  <si>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</si>
  <si>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</si>
  <si>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</si>
  <si>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</si>
  <si>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</si>
  <si>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</si>
  <si>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</si>
  <si>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</si>
  <si>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</si>
  <si>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</si>
  <si>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</si>
  <si>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</si>
  <si>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</si>
  <si>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</si>
  <si>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</si>
  <si>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</si>
  <si>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</si>
  <si>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</si>
  <si>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</si>
  <si>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</si>
  <si>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</si>
  <si>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</si>
  <si>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</si>
  <si>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</si>
  <si>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</si>
  <si>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</si>
  <si>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</si>
  <si>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</si>
  <si>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</si>
  <si>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</si>
  <si>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</si>
  <si>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</si>
  <si>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</si>
  <si>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</si>
  <si>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</si>
  <si>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</si>
  <si>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</si>
  <si>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</si>
  <si>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</si>
  <si>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</si>
  <si>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</si>
  <si>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</si>
  <si>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</si>
  <si>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</si>
  <si>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</si>
  <si>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</si>
  <si>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</si>
  <si>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</si>
  <si>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</si>
  <si>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</si>
  <si>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</si>
  <si>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</si>
  <si>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</si>
  <si>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</si>
  <si>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</si>
  <si>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</si>
  <si>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</si>
  <si>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</si>
  <si>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</si>
  <si>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</si>
  <si>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</si>
  <si>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</si>
  <si>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</si>
  <si>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</si>
  <si>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</si>
  <si>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</si>
  <si>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</si>
  <si>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</si>
  <si>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</si>
  <si>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</si>
  <si>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</si>
  <si>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</si>
  <si>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</si>
  <si>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</si>
  <si>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</si>
  <si>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</si>
  <si>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</si>
  <si>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</si>
  <si>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</si>
  <si>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</si>
  <si>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</si>
  <si>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</si>
  <si>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</si>
  <si>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</si>
  <si>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</si>
  <si>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</si>
  <si>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</si>
  <si>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</si>
  <si>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</si>
  <si>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</si>
  <si>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</si>
  <si>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</si>
  <si>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</si>
  <si>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</si>
  <si>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</si>
  <si>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</si>
  <si>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</si>
  <si>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</si>
  <si>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</si>
  <si>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</si>
  <si>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</si>
  <si>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</si>
  <si>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</si>
  <si>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</si>
  <si>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</si>
  <si>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</si>
  <si>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</si>
  <si>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</si>
  <si>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</si>
  <si>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</si>
  <si>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</si>
  <si>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</si>
  <si>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</si>
  <si>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</si>
  <si>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</si>
  <si>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</si>
  <si>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</si>
  <si>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</si>
  <si>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</si>
  <si>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</si>
  <si>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</si>
  <si>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</si>
  <si>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</si>
  <si>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</si>
  <si>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</si>
  <si>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</si>
  <si>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</si>
  <si>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</si>
  <si>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</si>
  <si>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</si>
  <si>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</si>
  <si>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</si>
  <si>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</si>
  <si>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</si>
  <si>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</si>
  <si>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</si>
  <si>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</si>
  <si>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</si>
  <si>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</si>
  <si>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</si>
  <si>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</si>
  <si>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</si>
  <si>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</si>
  <si>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</si>
  <si>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</si>
  <si>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</si>
  <si>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</si>
  <si>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</si>
  <si>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</si>
  <si>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</si>
  <si>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</si>
  <si>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</si>
  <si>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</si>
  <si>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</si>
  <si>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</si>
  <si>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</si>
  <si>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</si>
  <si>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</si>
  <si>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</si>
  <si>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</si>
  <si>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</si>
  <si>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</si>
  <si>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</si>
  <si>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</si>
  <si>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</si>
  <si>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</si>
  <si>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</si>
  <si>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</si>
  <si>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</si>
  <si>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</si>
  <si>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</si>
  <si>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</si>
  <si>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</si>
  <si>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</si>
  <si>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</si>
  <si>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</si>
  <si>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</si>
  <si>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</si>
  <si>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</si>
  <si>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</si>
  <si>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</si>
  <si>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</si>
  <si>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</si>
  <si>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</si>
  <si>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</si>
  <si>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</si>
  <si>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</si>
  <si>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</si>
  <si>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</si>
  <si>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</si>
  <si>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</si>
  <si>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</si>
  <si>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</si>
  <si>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</si>
  <si>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</si>
  <si>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</si>
  <si>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</si>
  <si>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</si>
  <si>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</si>
  <si>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</si>
  <si>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</si>
  <si>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</si>
  <si>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</si>
  <si>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</si>
  <si>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</si>
  <si>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</si>
  <si>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</si>
  <si>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</si>
  <si>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</si>
  <si>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</si>
  <si>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</si>
  <si>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</si>
  <si>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</si>
  <si>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</si>
  <si>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</si>
  <si>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</si>
  <si>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</si>
  <si>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</si>
  <si>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</si>
  <si>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</si>
  <si>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</si>
  <si>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</si>
  <si>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</si>
  <si>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</si>
  <si>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</si>
  <si>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</si>
  <si>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</si>
  <si>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</si>
  <si>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</si>
  <si>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</si>
  <si>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</si>
  <si>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</si>
  <si>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</si>
  <si>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</si>
  <si>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</si>
  <si>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</si>
  <si>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</si>
  <si>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</si>
  <si>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</si>
  <si>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</si>
  <si>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</si>
  <si>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</si>
  <si>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</si>
  <si>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</si>
  <si>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</si>
  <si>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</si>
  <si>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</si>
  <si>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</si>
  <si>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</si>
  <si>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</si>
  <si>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</si>
  <si>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</si>
  <si>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</si>
  <si>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</si>
  <si>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</si>
  <si>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</si>
  <si>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</si>
  <si>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</si>
  <si>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</si>
  <si>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</si>
  <si>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</si>
  <si>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</si>
  <si>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</si>
  <si>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</si>
  <si>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</si>
  <si>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</si>
  <si>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</si>
  <si>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</si>
  <si>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</si>
  <si>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</si>
  <si>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</si>
  <si>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</si>
  <si>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</si>
  <si>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</si>
  <si>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</si>
  <si>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</si>
  <si>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</si>
  <si>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</si>
  <si>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</si>
  <si>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</si>
  <si>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</si>
  <si>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</si>
  <si>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</si>
  <si>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</si>
  <si>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</si>
  <si>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</si>
  <si>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</si>
  <si>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</si>
  <si>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</si>
  <si>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</si>
  <si>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</si>
  <si>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</si>
  <si>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</si>
  <si>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</si>
  <si>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</si>
  <si>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</si>
  <si>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</si>
  <si>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</si>
  <si>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</si>
  <si>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</si>
  <si>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</si>
  <si>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</si>
  <si>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</si>
  <si>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</si>
  <si>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</si>
  <si>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</si>
  <si>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</si>
  <si>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</si>
  <si>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</si>
  <si>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</si>
  <si>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</si>
  <si>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</si>
  <si>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</si>
  <si>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</si>
  <si>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</si>
  <si>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</si>
  <si>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</si>
  <si>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</si>
  <si>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</si>
  <si>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</si>
  <si>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</si>
  <si>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</si>
  <si>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</si>
  <si>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</si>
  <si>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</si>
  <si>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</si>
  <si>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</si>
  <si>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</si>
  <si>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</si>
  <si>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</si>
  <si>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</si>
  <si>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</si>
  <si>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</si>
  <si>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</si>
  <si>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</si>
  <si>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</si>
  <si>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</si>
  <si>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</si>
  <si>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</si>
  <si>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</si>
  <si>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</si>
  <si>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</si>
  <si>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</si>
  <si>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</si>
  <si>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</si>
  <si>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</si>
  <si>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</si>
  <si>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</si>
  <si>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</si>
  <si>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</si>
  <si>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</si>
  <si>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</si>
  <si>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</si>
  <si>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</si>
  <si>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</si>
  <si>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</si>
  <si>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</si>
  <si>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</si>
  <si>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</si>
  <si>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</si>
  <si>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</si>
  <si>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</si>
  <si>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</si>
  <si>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</si>
  <si>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</si>
  <si>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</si>
  <si>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</si>
  <si>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</si>
  <si>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</si>
  <si>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</si>
  <si>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</si>
  <si>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</si>
  <si>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</si>
  <si>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</si>
  <si>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</si>
  <si>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</si>
  <si>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</si>
  <si>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</si>
  <si>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</si>
  <si>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</si>
  <si>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</si>
  <si>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</si>
  <si>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</si>
  <si>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</si>
  <si>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</si>
  <si>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</si>
  <si>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</si>
  <si>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</si>
  <si>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</si>
  <si>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</si>
  <si>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</si>
  <si>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</si>
  <si>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</si>
  <si>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</si>
  <si>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</si>
  <si>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</si>
  <si>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</si>
  <si>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</si>
  <si>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</si>
  <si>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</si>
  <si>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</si>
  <si>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</si>
  <si>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</si>
  <si>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</si>
  <si>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</si>
  <si>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</si>
  <si>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</si>
  <si>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</si>
  <si>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</si>
  <si>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</si>
  <si>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</si>
  <si>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</si>
  <si>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</si>
  <si>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</si>
  <si>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</si>
  <si>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</si>
  <si>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</si>
  <si>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</si>
  <si>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</si>
  <si>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</si>
  <si>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</si>
  <si>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</si>
  <si>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</si>
  <si>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</si>
  <si>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</si>
  <si>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</si>
  <si>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</si>
  <si>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</si>
  <si>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</si>
  <si>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</si>
  <si>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</si>
  <si>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</si>
  <si>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</si>
  <si>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</si>
  <si>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</si>
  <si>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</si>
  <si>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</si>
  <si>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</si>
  <si>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</si>
  <si>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</si>
  <si>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</si>
  <si>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</si>
  <si>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</si>
  <si>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</si>
  <si>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</si>
  <si>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</si>
  <si>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</si>
  <si>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</si>
  <si>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</si>
  <si>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</si>
  <si>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</si>
  <si>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</si>
  <si>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</si>
  <si>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</si>
  <si>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</si>
  <si>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</si>
  <si>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</si>
  <si>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</si>
  <si>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</si>
  <si>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</si>
  <si>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</si>
  <si>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</si>
  <si>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</si>
  <si>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</si>
  <si>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</si>
  <si>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</si>
  <si>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</si>
  <si>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</si>
  <si>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</si>
  <si>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</si>
  <si>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</si>
  <si>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</si>
  <si>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</si>
  <si>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</si>
  <si>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</si>
  <si>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</si>
  <si>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</si>
  <si>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</si>
  <si>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</si>
  <si>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</si>
  <si>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</si>
  <si>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</si>
  <si>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</si>
  <si>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</si>
  <si>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</si>
  <si>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</si>
  <si>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</si>
  <si>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</si>
  <si>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</si>
  <si>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</si>
  <si>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</si>
  <si>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</si>
  <si>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</si>
  <si>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</si>
  <si>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</si>
  <si>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</si>
  <si>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</si>
  <si>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</si>
  <si>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</si>
  <si>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</si>
  <si>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</si>
  <si>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</si>
  <si>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</si>
  <si>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</si>
  <si>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</si>
  <si>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</si>
  <si>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</si>
  <si>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</si>
  <si>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</si>
  <si>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</si>
  <si>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</si>
  <si>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</si>
  <si>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</si>
  <si>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</si>
  <si>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</si>
  <si>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</si>
  <si>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</si>
  <si>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</si>
  <si>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</si>
  <si>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</si>
  <si>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</si>
  <si>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</si>
  <si>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</si>
  <si>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</si>
  <si>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</si>
  <si>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</si>
  <si>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</si>
  <si>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</si>
  <si>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</si>
  <si>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</si>
  <si>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</si>
  <si>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</si>
  <si>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</si>
  <si>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</si>
  <si>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</si>
  <si>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</si>
  <si>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</si>
  <si>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</si>
  <si>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</si>
  <si>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</si>
  <si>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</si>
  <si>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</si>
  <si>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</si>
  <si>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</si>
  <si>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</si>
  <si>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</si>
  <si>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</si>
  <si>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</si>
  <si>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</si>
  <si>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</si>
  <si>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</si>
  <si>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</si>
  <si>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</si>
  <si>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</si>
  <si>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</si>
  <si>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</si>
  <si>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</si>
  <si>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</si>
  <si>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</si>
  <si>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</si>
  <si>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</si>
  <si>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</si>
  <si>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</si>
  <si>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</si>
  <si>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</si>
  <si>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</si>
  <si>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</si>
  <si>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</si>
  <si>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</si>
  <si>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</si>
  <si>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</si>
  <si>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</si>
  <si>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</si>
  <si>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</si>
  <si>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</si>
  <si>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</si>
  <si>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</si>
  <si>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</si>
  <si>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</si>
  <si>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</si>
  <si>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</si>
  <si>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</si>
  <si>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</si>
  <si>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</si>
  <si>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</si>
  <si>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</si>
  <si>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</si>
  <si>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</si>
  <si>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</si>
  <si>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</si>
  <si>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</si>
  <si>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</si>
  <si>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</si>
  <si>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</si>
  <si>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</si>
  <si>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</si>
  <si>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</si>
  <si>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</si>
  <si>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</si>
  <si>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</si>
  <si>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</si>
  <si>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</si>
  <si>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</si>
  <si>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</si>
  <si>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</si>
  <si>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</si>
  <si>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</si>
  <si>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</si>
  <si>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</si>
  <si>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</si>
  <si>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</si>
  <si>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</si>
  <si>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</si>
  <si>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</si>
  <si>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</si>
  <si>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</si>
  <si>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</si>
  <si>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</si>
  <si>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</si>
  <si>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</si>
  <si>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</si>
  <si>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</si>
  <si>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</si>
  <si>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</si>
  <si>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</si>
  <si>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</si>
  <si>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</si>
  <si>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</si>
  <si>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</si>
  <si>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</si>
  <si>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</si>
  <si>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</si>
  <si>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</si>
  <si>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</si>
  <si>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</si>
  <si>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</si>
  <si>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</si>
  <si>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</si>
  <si>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</si>
  <si>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</si>
  <si>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</si>
  <si>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</si>
  <si>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</si>
  <si>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</si>
  <si>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</si>
  <si>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</si>
  <si>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</si>
  <si>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</si>
  <si>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</si>
  <si>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</si>
  <si>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</si>
  <si>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</si>
  <si>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</si>
  <si>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</si>
  <si>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</si>
  <si>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</si>
  <si>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</si>
  <si>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</si>
  <si>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</si>
  <si>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</si>
  <si>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</si>
  <si>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</si>
  <si>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</si>
  <si>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</si>
  <si>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</si>
  <si>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</si>
  <si>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</si>
  <si>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</si>
  <si>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</si>
  <si>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</si>
  <si>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</si>
  <si>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</si>
  <si>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</si>
  <si>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</si>
  <si>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</si>
  <si>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</si>
  <si>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</si>
  <si>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</si>
  <si>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</si>
  <si>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</si>
  <si>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</si>
  <si>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</si>
  <si>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</si>
  <si>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</si>
  <si>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</si>
  <si>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</si>
  <si>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</si>
  <si>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</si>
  <si>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</si>
  <si>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</si>
  <si>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</si>
  <si>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</si>
  <si>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</si>
  <si>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</si>
  <si>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</si>
  <si>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</si>
  <si>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</si>
  <si>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</si>
  <si>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</si>
  <si>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</si>
  <si>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</si>
  <si>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</si>
  <si>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</si>
  <si>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</si>
  <si>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</si>
  <si>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</si>
  <si>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</si>
  <si>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</si>
  <si>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</si>
  <si>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</si>
  <si>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</si>
  <si>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</si>
  <si>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</si>
  <si>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</si>
  <si>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</si>
  <si>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</si>
  <si>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</si>
  <si>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</si>
  <si>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</si>
  <si>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</si>
  <si>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</si>
  <si>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</si>
  <si>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</si>
  <si>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</si>
  <si>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</si>
  <si>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</si>
  <si>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</si>
  <si>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</si>
  <si>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</si>
  <si>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</si>
  <si>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</si>
  <si>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</si>
  <si>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</si>
  <si>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</si>
  <si>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</si>
  <si>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</si>
  <si>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</si>
  <si>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</si>
  <si>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</si>
  <si>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</si>
  <si>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</si>
  <si>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</si>
  <si>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</si>
  <si>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</si>
  <si>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</si>
  <si>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</si>
  <si>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</si>
  <si>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</si>
  <si>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</si>
  <si>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</si>
  <si>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</si>
  <si>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</si>
  <si>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</si>
  <si>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</si>
  <si>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</si>
  <si>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</si>
  <si>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</si>
  <si>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</si>
  <si>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</si>
  <si>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</si>
  <si>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</si>
  <si>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</si>
  <si>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</si>
  <si>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</si>
  <si>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</si>
  <si>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</si>
  <si>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</si>
  <si>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</si>
  <si>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</si>
  <si>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</si>
  <si>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</si>
  <si>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</si>
  <si>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</si>
  <si>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</si>
  <si>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</si>
  <si>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</si>
  <si>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</si>
  <si>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</si>
  <si>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</si>
  <si>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</si>
  <si>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</si>
  <si>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</si>
  <si>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</si>
  <si>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</si>
  <si>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</si>
  <si>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</si>
  <si>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</si>
  <si>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</si>
  <si>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</si>
  <si>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</si>
  <si>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</si>
  <si>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</si>
  <si>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</si>
  <si>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</si>
  <si>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</si>
  <si>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</si>
  <si>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</si>
  <si>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</si>
  <si>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</si>
  <si>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</si>
  <si>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</si>
  <si>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</si>
  <si>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</si>
  <si>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</si>
  <si>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</si>
  <si>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</si>
  <si>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</si>
  <si>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</si>
  <si>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</si>
  <si>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</si>
  <si>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</si>
  <si>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</si>
  <si>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</si>
  <si>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</si>
  <si>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</si>
  <si>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</si>
  <si>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</si>
  <si>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</si>
  <si>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</si>
  <si>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</si>
  <si>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</si>
  <si>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</si>
  <si>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</si>
  <si>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</si>
  <si>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</si>
  <si>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</si>
  <si>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</si>
  <si>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</si>
  <si>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</si>
  <si>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</si>
  <si>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</si>
  <si>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</si>
  <si>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</si>
  <si>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</si>
  <si>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</si>
  <si>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</si>
  <si>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</si>
  <si>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</si>
  <si>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</si>
  <si>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</si>
  <si>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</si>
  <si>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</si>
  <si>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</si>
  <si>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</si>
  <si>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</si>
  <si>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</si>
  <si>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</si>
  <si>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</si>
  <si>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</si>
  <si>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</si>
  <si>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</si>
  <si>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</si>
  <si>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</si>
  <si>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</si>
  <si>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</si>
  <si>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</si>
  <si>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</si>
  <si>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</si>
  <si>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</si>
  <si>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</si>
  <si>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</si>
  <si>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</si>
  <si>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</si>
  <si>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</si>
  <si>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</si>
  <si>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</si>
  <si>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</si>
  <si>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</si>
  <si>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</si>
  <si>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</si>
  <si>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</si>
  <si>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</si>
  <si>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</si>
  <si>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</si>
  <si>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</si>
  <si>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</si>
  <si>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</si>
  <si>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</si>
  <si>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</si>
  <si>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</si>
  <si>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</si>
  <si>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</si>
  <si>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</si>
  <si>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</si>
  <si>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</si>
  <si>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</si>
  <si>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</si>
  <si>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</si>
  <si>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</si>
  <si>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</si>
  <si>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</si>
  <si>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</si>
  <si>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</si>
  <si>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</si>
  <si>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</si>
  <si>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</si>
  <si>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</si>
  <si>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</si>
  <si>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</si>
  <si>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</si>
  <si>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</si>
  <si>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</si>
  <si>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</si>
  <si>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</si>
  <si>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</si>
  <si>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</si>
  <si>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</si>
  <si>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</si>
  <si>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</si>
  <si>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</si>
  <si>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</si>
  <si>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</si>
  <si>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</si>
  <si>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</si>
  <si>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</si>
  <si>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</si>
  <si>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</si>
  <si>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</si>
  <si>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</si>
  <si>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</si>
  <si>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</si>
  <si>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</si>
  <si>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</si>
  <si>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</si>
  <si>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</si>
  <si>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</si>
  <si>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</si>
  <si>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</si>
  <si>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</si>
  <si>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</si>
  <si>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</si>
  <si>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</si>
  <si>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</si>
  <si>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</si>
  <si>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</si>
  <si>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</si>
  <si>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</si>
  <si>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</si>
  <si>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</si>
  <si>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</si>
  <si>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</si>
  <si>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</si>
  <si>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</si>
  <si>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</si>
  <si>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</si>
  <si>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</si>
  <si>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</si>
  <si>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</si>
  <si>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</si>
  <si>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</si>
  <si>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</si>
  <si>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</si>
  <si>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</si>
  <si>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</si>
  <si>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</si>
  <si>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</si>
  <si>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</si>
  <si>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</si>
  <si>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</si>
  <si>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</si>
  <si>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</si>
  <si>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</si>
  <si>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</si>
  <si>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</si>
  <si>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</si>
  <si>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</si>
  <si>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</si>
  <si>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</si>
  <si>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</si>
  <si>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</si>
  <si>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</si>
  <si>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</si>
  <si>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</si>
  <si>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</si>
  <si>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</si>
  <si>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</si>
  <si>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</si>
  <si>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</si>
  <si>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</si>
  <si>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</si>
  <si>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</si>
  <si>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</si>
  <si>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</si>
  <si>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</si>
  <si>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</si>
  <si>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</si>
  <si>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</si>
  <si>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</si>
  <si>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</si>
  <si>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</si>
  <si>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</si>
  <si>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</si>
  <si>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</si>
  <si>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</si>
  <si>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</si>
  <si>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</si>
  <si>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</si>
  <si>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</si>
  <si>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</si>
  <si>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</si>
  <si>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</si>
  <si>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</si>
  <si>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</si>
  <si>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</si>
  <si>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</si>
  <si>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</si>
  <si>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</si>
  <si>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</si>
  <si>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</si>
  <si>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</si>
  <si>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</si>
  <si>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</si>
  <si>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</si>
  <si>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</si>
  <si>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</si>
  <si>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</si>
  <si>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</si>
  <si>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</si>
  <si>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</si>
  <si>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</si>
  <si>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</si>
  <si>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</si>
  <si>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</si>
  <si>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</si>
  <si>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</si>
  <si>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</si>
  <si>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</si>
  <si>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</si>
  <si>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</si>
  <si>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</si>
  <si>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</si>
  <si>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</si>
  <si>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</si>
  <si>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</si>
  <si>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</si>
  <si>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</si>
  <si>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</si>
  <si>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</si>
  <si>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</si>
  <si>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</si>
  <si>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</si>
  <si>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</si>
  <si>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</si>
  <si>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</si>
  <si>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</si>
  <si>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</si>
  <si>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</si>
  <si>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</si>
  <si>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</si>
  <si>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</si>
  <si>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</si>
  <si>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</si>
  <si>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</si>
  <si>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</si>
  <si>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</si>
  <si>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</si>
  <si>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</si>
  <si>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</si>
  <si>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</si>
  <si>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</si>
  <si>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</si>
  <si>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</si>
  <si>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</si>
  <si>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</si>
  <si>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</si>
  <si>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</si>
  <si>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</si>
  <si>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</si>
  <si>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</si>
  <si>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</si>
  <si>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</si>
  <si>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</si>
  <si>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</si>
  <si>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</si>
  <si>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</si>
  <si>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</si>
  <si>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</si>
  <si>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</si>
  <si>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</si>
  <si>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</si>
  <si>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</si>
  <si>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</si>
  <si>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</si>
  <si>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</si>
  <si>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</si>
  <si>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</si>
  <si>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</si>
  <si>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</si>
  <si>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</si>
  <si>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</si>
  <si>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</si>
  <si>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</si>
  <si>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</si>
  <si>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</si>
  <si>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</si>
  <si>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</si>
  <si>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</si>
  <si>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</si>
  <si>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</si>
  <si>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</si>
  <si>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</si>
  <si>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</si>
  <si>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</si>
  <si>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</si>
  <si>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</si>
  <si>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</si>
  <si>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</si>
  <si>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</si>
  <si>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</si>
  <si>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</si>
  <si>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</si>
  <si>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</si>
  <si>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</si>
  <si>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</si>
  <si>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</si>
  <si>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</si>
  <si>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</si>
  <si>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</si>
  <si>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</si>
  <si>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</si>
  <si>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</si>
  <si>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</si>
  <si>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</si>
  <si>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</si>
  <si>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</si>
  <si>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</si>
  <si>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</si>
  <si>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</si>
  <si>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</si>
  <si>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</si>
  <si>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</si>
  <si>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</si>
  <si>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</si>
  <si>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</si>
  <si>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</si>
  <si>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</si>
  <si>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</si>
  <si>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</si>
  <si>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</si>
  <si>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</si>
  <si>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</si>
  <si>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</si>
  <si>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</si>
  <si>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</si>
  <si>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</si>
  <si>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</si>
  <si>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</si>
  <si>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</si>
  <si>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</si>
  <si>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</si>
  <si>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</si>
  <si>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</si>
  <si>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</si>
  <si>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</si>
  <si>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</si>
  <si>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</si>
  <si>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</si>
  <si>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</si>
  <si>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</si>
  <si>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</si>
  <si>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</si>
  <si>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</si>
  <si>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</si>
  <si>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</si>
  <si>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</si>
  <si>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</si>
  <si>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</si>
  <si>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</si>
  <si>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</si>
  <si>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</si>
  <si>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</si>
  <si>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</si>
  <si>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</si>
  <si>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</si>
  <si>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</si>
  <si>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</si>
  <si>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</si>
  <si>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</si>
  <si>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</si>
  <si>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</si>
  <si>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</si>
  <si>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</si>
  <si>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</si>
  <si>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</si>
  <si>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</si>
  <si>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</si>
  <si>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</si>
  <si>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</si>
  <si>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</si>
  <si>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</si>
  <si>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</si>
  <si>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</si>
  <si>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</si>
  <si>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</si>
  <si>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</si>
  <si>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</si>
  <si>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</si>
  <si>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</si>
  <si>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</si>
  <si>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</si>
  <si>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</si>
  <si>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</si>
  <si>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</si>
  <si>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</si>
  <si>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</si>
  <si>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</si>
  <si>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</si>
  <si>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</si>
  <si>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</si>
  <si>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</si>
  <si>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</si>
  <si>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</si>
  <si>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</si>
  <si>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</si>
  <si>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</si>
  <si>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</si>
  <si>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</si>
  <si>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</si>
  <si>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</si>
  <si>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</si>
  <si>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</si>
  <si>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</si>
  <si>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</si>
  <si>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</si>
  <si>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</si>
  <si>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</si>
  <si>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</si>
  <si>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</si>
  <si>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</si>
  <si>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</si>
  <si>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</si>
  <si>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</si>
  <si>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</si>
  <si>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</si>
  <si>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</si>
  <si>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</si>
  <si>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</si>
  <si>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</si>
  <si>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</si>
  <si>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</si>
  <si>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</si>
  <si>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</si>
  <si>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</si>
  <si>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</si>
  <si>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</si>
  <si>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</si>
  <si>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</si>
  <si>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</si>
  <si>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</si>
  <si>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</si>
  <si>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</si>
  <si>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</si>
  <si>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</si>
  <si>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</si>
  <si>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</si>
  <si>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</si>
  <si>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</si>
  <si>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</si>
  <si>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</si>
  <si>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</si>
  <si>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</si>
  <si>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</si>
  <si>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</si>
  <si>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</si>
  <si>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</si>
  <si>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</si>
  <si>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</si>
  <si>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</si>
  <si>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</si>
  <si>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</si>
  <si>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</si>
  <si>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</si>
  <si>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</si>
  <si>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</si>
  <si>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</si>
  <si>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</si>
  <si>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</si>
  <si>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</si>
  <si>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</si>
  <si>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</si>
  <si>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</si>
  <si>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</si>
  <si>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</si>
  <si>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</si>
  <si>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</si>
  <si>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</si>
  <si>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</si>
  <si>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</si>
  <si>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</si>
  <si>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</si>
  <si>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</si>
  <si>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</si>
  <si>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</si>
  <si>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</si>
  <si>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</si>
  <si>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</si>
  <si>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</si>
  <si>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</si>
  <si>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</si>
  <si>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</si>
  <si>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</si>
  <si>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</si>
  <si>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</si>
  <si>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</si>
  <si>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</si>
  <si>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</si>
  <si>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</si>
  <si>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</si>
  <si>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</si>
  <si>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</si>
  <si>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</si>
  <si>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</si>
  <si>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</si>
  <si>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</si>
  <si>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</si>
  <si>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</si>
  <si>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</si>
  <si>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</si>
  <si>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</si>
  <si>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</si>
  <si>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</si>
  <si>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</si>
  <si>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</si>
  <si>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</si>
  <si>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</si>
  <si>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</si>
  <si>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</si>
  <si>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</si>
  <si>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</si>
  <si>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</si>
  <si>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</si>
  <si>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</si>
  <si>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</si>
  <si>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</si>
  <si>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</si>
  <si>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</si>
  <si>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</si>
  <si>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</si>
  <si>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</si>
  <si>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</si>
  <si>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</si>
  <si>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</si>
  <si>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</si>
  <si>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</si>
  <si>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</si>
  <si>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</si>
  <si>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</si>
  <si>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</si>
  <si>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</si>
  <si>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</si>
  <si>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</si>
  <si>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</si>
  <si>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</si>
  <si>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</si>
  <si>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</si>
  <si>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</si>
  <si>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</si>
  <si>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</si>
  <si>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</si>
  <si>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</si>
  <si>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</si>
  <si>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</si>
  <si>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</si>
  <si>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</si>
  <si>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</si>
  <si>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</si>
  <si>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</si>
  <si>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</si>
  <si>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</si>
  <si>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</si>
  <si>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</si>
  <si>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</si>
  <si>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</si>
  <si>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</si>
  <si>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</si>
  <si>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</si>
  <si>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</si>
  <si>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</si>
  <si>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</si>
  <si>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</si>
  <si>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</si>
  <si>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</si>
  <si>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</si>
  <si>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</si>
  <si>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</si>
  <si>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</si>
  <si>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</si>
  <si>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</si>
  <si>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</si>
  <si>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</si>
  <si>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</si>
  <si>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</si>
  <si>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</si>
  <si>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</si>
  <si>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</si>
  <si>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</si>
  <si>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</si>
  <si>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</si>
  <si>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</si>
  <si>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</si>
  <si>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</si>
  <si>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</si>
  <si>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</si>
  <si>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</si>
  <si>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</si>
  <si>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</si>
  <si>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</si>
  <si>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</si>
  <si>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</si>
  <si>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</si>
  <si>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</si>
  <si>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</si>
  <si>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</si>
  <si>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</si>
  <si>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</si>
  <si>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</si>
  <si>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</si>
  <si>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</si>
  <si>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</si>
  <si>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</si>
  <si>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</si>
  <si>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</si>
  <si>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</si>
  <si>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</si>
  <si>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</si>
  <si>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</si>
  <si>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</si>
  <si>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</si>
  <si>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</si>
  <si>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</si>
  <si>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</si>
  <si>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</si>
  <si>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</si>
  <si>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</si>
  <si>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</si>
  <si>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</si>
  <si>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</si>
  <si>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</si>
  <si>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</si>
  <si>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</si>
  <si>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</si>
  <si>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</si>
  <si>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</si>
  <si>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</si>
  <si>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</si>
  <si>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</si>
  <si>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</si>
  <si>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</si>
  <si>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</si>
  <si>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</si>
  <si>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</si>
  <si>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</si>
  <si>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</si>
  <si>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</si>
  <si>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</si>
  <si>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</si>
  <si>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</si>
  <si>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</si>
  <si>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</si>
  <si>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</si>
  <si>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</si>
  <si>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</si>
  <si>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</si>
  <si>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</si>
  <si>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</si>
  <si>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</si>
  <si>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</si>
  <si>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</si>
  <si>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</si>
  <si>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</si>
  <si>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</si>
  <si>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</si>
  <si>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</si>
  <si>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</si>
  <si>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</si>
  <si>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</si>
  <si>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</si>
  <si>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</si>
  <si>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</si>
  <si>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</si>
  <si>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</si>
  <si>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</si>
  <si>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</si>
  <si>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</si>
  <si>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</si>
  <si>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</si>
  <si>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</si>
  <si>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</si>
  <si>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</si>
  <si>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</si>
  <si>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</si>
  <si>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</si>
  <si>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</si>
  <si>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</si>
  <si>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</si>
  <si>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</si>
  <si>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</si>
  <si>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</si>
  <si>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</si>
  <si>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</si>
  <si>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</si>
  <si>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</si>
  <si>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</si>
  <si>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</si>
  <si>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</si>
  <si>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</si>
  <si>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</si>
  <si>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</si>
  <si>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</si>
  <si>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</si>
  <si>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</si>
  <si>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</si>
  <si>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</si>
  <si>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</si>
  <si>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</si>
  <si>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</si>
  <si>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</si>
  <si>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</si>
  <si>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</si>
  <si>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</si>
  <si>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</si>
  <si>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</si>
  <si>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</si>
  <si>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</si>
  <si>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</si>
  <si>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</si>
  <si>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</si>
  <si>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</si>
  <si>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</si>
  <si>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</si>
  <si>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</si>
  <si>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</si>
  <si>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</si>
  <si>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</si>
  <si>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</si>
  <si>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</si>
  <si>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</si>
  <si>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</si>
  <si>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</si>
  <si>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</si>
  <si>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</si>
  <si>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</si>
  <si>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</si>
  <si>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</si>
  <si>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</si>
  <si>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</si>
  <si>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</si>
  <si>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</si>
  <si>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</si>
  <si>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</si>
  <si>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</si>
  <si>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</si>
  <si>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</si>
  <si>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</si>
  <si>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</si>
  <si>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</si>
  <si>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</si>
  <si>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</si>
  <si>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</si>
  <si>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</si>
  <si>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</si>
  <si>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</si>
  <si>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</si>
  <si>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</si>
  <si>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</si>
  <si>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</si>
  <si>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</si>
  <si>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</si>
  <si>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</si>
  <si>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</si>
  <si>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</si>
  <si>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</si>
  <si>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</si>
  <si>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</si>
  <si>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</si>
  <si>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</si>
  <si>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</si>
  <si>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</si>
  <si>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</si>
  <si>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</si>
  <si>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</si>
  <si>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</si>
  <si>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</si>
  <si>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</si>
  <si>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</si>
  <si>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</si>
  <si>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</si>
  <si>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</si>
  <si>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</si>
  <si>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</si>
  <si>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</si>
  <si>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</si>
  <si>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</si>
  <si>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</si>
  <si>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</si>
  <si>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</si>
  <si>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</si>
  <si>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</si>
  <si>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</si>
  <si>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</si>
  <si>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</si>
  <si>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</si>
  <si>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</si>
  <si>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</si>
  <si>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</si>
  <si>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</si>
  <si>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</si>
  <si>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</si>
  <si>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</si>
  <si>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</si>
  <si>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</si>
  <si>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</si>
  <si>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</si>
  <si>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</si>
  <si>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</si>
  <si>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</si>
  <si>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</si>
  <si>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</si>
  <si>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</si>
  <si>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</si>
  <si>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</si>
  <si>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</si>
  <si>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</si>
  <si>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</si>
  <si>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</si>
  <si>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</si>
  <si>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</si>
  <si>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</si>
  <si>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</si>
  <si>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</si>
  <si>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</si>
  <si>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</si>
  <si>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</si>
  <si>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</si>
  <si>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</si>
  <si>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</si>
  <si>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</si>
  <si>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</si>
  <si>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</si>
  <si>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</si>
  <si>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</si>
  <si>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</si>
  <si>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</si>
  <si>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</si>
  <si>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</si>
  <si>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</si>
  <si>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</si>
  <si>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</si>
  <si>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</si>
  <si>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</si>
  <si>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</si>
  <si>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</si>
  <si>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</si>
  <si>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</si>
  <si>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</si>
  <si>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</si>
  <si>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</si>
  <si>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</si>
  <si>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</si>
  <si>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</si>
  <si>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</si>
  <si>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</si>
  <si>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</si>
  <si>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</si>
  <si>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</si>
  <si>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</si>
  <si>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</si>
  <si>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</si>
  <si>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</si>
  <si>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</si>
  <si>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</si>
  <si>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</si>
  <si>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</si>
  <si>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</si>
  <si>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</si>
  <si>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</si>
  <si>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</si>
  <si>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</si>
  <si>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</si>
  <si>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</si>
  <si>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</si>
  <si>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</si>
  <si>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</si>
  <si>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</si>
  <si>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</si>
  <si>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</si>
  <si>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</si>
  <si>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</si>
  <si>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</si>
  <si>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</si>
  <si>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</si>
  <si>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</si>
  <si>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</si>
  <si>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</si>
  <si>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</si>
  <si>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</si>
  <si>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</si>
  <si>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</si>
  <si>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</si>
  <si>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</si>
  <si>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</si>
  <si>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</si>
  <si>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</si>
  <si>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</si>
  <si>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</si>
  <si>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</si>
  <si>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</si>
  <si>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</si>
  <si>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</si>
  <si>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</si>
  <si>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</si>
  <si>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</si>
  <si>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</si>
  <si>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</si>
  <si>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</si>
  <si>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</si>
  <si>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</si>
  <si>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</si>
  <si>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</si>
  <si>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</si>
  <si>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</si>
  <si>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</si>
  <si>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</si>
  <si>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</si>
  <si>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</si>
  <si>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</si>
  <si>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</si>
  <si>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</si>
  <si>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</si>
  <si>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</si>
  <si>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</si>
  <si>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</si>
  <si>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</si>
  <si>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</si>
  <si>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</si>
  <si>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</si>
  <si>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</si>
  <si>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</si>
  <si>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</si>
  <si>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</si>
  <si>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</si>
  <si>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</si>
  <si>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</si>
  <si>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</si>
  <si>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</si>
  <si>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</si>
  <si>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</si>
  <si>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</si>
  <si>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</si>
  <si>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</si>
  <si>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</si>
  <si>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</si>
  <si>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</si>
  <si>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</si>
  <si>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</si>
  <si>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</si>
  <si>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</si>
  <si>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</si>
  <si>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</si>
  <si>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</si>
  <si>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</si>
  <si>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</si>
  <si>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</si>
  <si>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</si>
  <si>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</si>
  <si>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</si>
  <si>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</si>
  <si>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</si>
  <si>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</si>
  <si>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</si>
  <si>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</si>
  <si>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</si>
  <si>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</si>
  <si>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</si>
  <si>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</si>
  <si>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</si>
  <si>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</si>
  <si>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</si>
  <si>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</si>
  <si>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</si>
  <si>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</si>
  <si>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</si>
  <si>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</si>
  <si>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</si>
  <si>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</si>
  <si>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</si>
  <si>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</si>
  <si>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</si>
  <si>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</si>
  <si>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</si>
  <si>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</si>
  <si>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</si>
  <si>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</si>
  <si>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</si>
  <si>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</si>
  <si>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</si>
  <si>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</si>
  <si>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</si>
  <si>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</si>
  <si>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</si>
  <si>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</si>
  <si>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</si>
  <si>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</si>
  <si>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</si>
  <si>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</si>
  <si>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</si>
  <si>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</si>
  <si>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</si>
  <si>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</si>
  <si>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</si>
  <si>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</si>
  <si>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</si>
  <si>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</si>
  <si>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</si>
  <si>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</si>
  <si>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</si>
  <si>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</si>
  <si>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</si>
  <si>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</si>
  <si>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</si>
  <si>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</si>
  <si>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</si>
  <si>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</si>
  <si>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</si>
  <si>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</si>
  <si>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</si>
  <si>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</si>
  <si>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</si>
  <si>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</si>
  <si>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</si>
  <si>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</si>
  <si>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</si>
  <si>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</si>
  <si>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</si>
  <si>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</si>
  <si>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</si>
  <si>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</si>
  <si>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</si>
  <si>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</si>
  <si>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</si>
  <si>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</si>
  <si>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</si>
  <si>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</si>
  <si>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</si>
  <si>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</si>
  <si>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</si>
  <si>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</si>
  <si>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</si>
  <si>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</si>
  <si>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</si>
  <si>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</si>
  <si>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</si>
  <si>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</si>
  <si>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</si>
  <si>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</si>
  <si>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</si>
  <si>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</si>
  <si>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</si>
  <si>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</si>
  <si>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</si>
  <si>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</si>
  <si>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</si>
  <si>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</si>
  <si>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</si>
  <si>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</si>
  <si>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</si>
  <si>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</si>
  <si>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</si>
  <si>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</si>
  <si>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</si>
  <si>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</si>
  <si>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</si>
  <si>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</si>
  <si>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</si>
  <si>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</si>
  <si>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</si>
  <si>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</si>
  <si>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</si>
  <si>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</si>
  <si>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</si>
  <si>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</si>
  <si>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</si>
  <si>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</si>
  <si>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</si>
  <si>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</si>
  <si>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</si>
  <si>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</si>
  <si>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</si>
  <si>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</si>
  <si>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</si>
  <si>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</si>
  <si>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</si>
  <si>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</si>
  <si>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</si>
  <si>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</si>
  <si>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</si>
  <si>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</si>
  <si>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</si>
  <si>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</si>
  <si>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</si>
  <si>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</si>
  <si>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</si>
  <si>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</si>
  <si>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</si>
  <si>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</si>
  <si>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</si>
  <si>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</si>
  <si>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</si>
  <si>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</si>
  <si>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</si>
  <si>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</si>
  <si>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</si>
  <si>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</si>
  <si>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</si>
  <si>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</si>
  <si>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</si>
  <si>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</si>
  <si>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</si>
  <si>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</si>
  <si>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</si>
  <si>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</si>
  <si>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</si>
  <si>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</si>
  <si>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</si>
  <si>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</si>
  <si>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</si>
  <si>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</si>
  <si>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</si>
  <si>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</si>
  <si>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</si>
  <si>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</si>
  <si>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</si>
  <si>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</si>
  <si>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</si>
  <si>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</si>
  <si>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</si>
  <si>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</si>
  <si>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</si>
  <si>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</si>
  <si>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</si>
  <si>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</si>
  <si>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</si>
  <si>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</si>
  <si>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</si>
  <si>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</si>
  <si>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</si>
  <si>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</si>
  <si>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</si>
  <si>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</si>
  <si>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</si>
  <si>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</si>
  <si>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</si>
  <si>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</si>
  <si>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</si>
  <si>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</si>
  <si>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</si>
  <si>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</si>
  <si>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</si>
  <si>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</si>
  <si>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</si>
  <si>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</si>
  <si>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</si>
  <si>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</si>
  <si>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</si>
  <si>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</si>
  <si>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</si>
  <si>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</si>
  <si>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</si>
  <si>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</si>
  <si>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</si>
  <si>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</si>
  <si>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</si>
  <si>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</si>
  <si>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</si>
  <si>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</si>
  <si>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</si>
  <si>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</si>
  <si>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</si>
  <si>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</si>
  <si>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</si>
  <si>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</si>
  <si>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</si>
  <si>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</si>
  <si>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</si>
  <si>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</si>
  <si>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</si>
  <si>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</si>
  <si>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</si>
  <si>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</si>
  <si>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</si>
  <si>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</si>
  <si>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</si>
  <si>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</si>
  <si>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</si>
  <si>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</si>
  <si>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</si>
  <si>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</si>
  <si>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</si>
  <si>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</si>
  <si>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</si>
  <si>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</si>
  <si>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</si>
  <si>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</si>
  <si>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</si>
  <si>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</si>
  <si>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</si>
  <si>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</si>
  <si>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</si>
  <si>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</si>
  <si>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</si>
  <si>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</si>
  <si>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</si>
  <si>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</si>
  <si>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</si>
  <si>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</si>
  <si>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</si>
  <si>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</si>
  <si>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</si>
  <si>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</si>
  <si>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</si>
  <si>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</si>
  <si>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</si>
  <si>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</si>
  <si>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</si>
  <si>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</si>
  <si>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</si>
  <si>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</si>
  <si>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</si>
  <si>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</si>
  <si>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</si>
  <si>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</si>
  <si>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</si>
  <si>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</si>
  <si>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</si>
  <si>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</si>
  <si>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</si>
  <si>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</si>
  <si>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</si>
  <si>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</si>
  <si>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</si>
  <si>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</si>
  <si>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</si>
  <si>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</si>
  <si>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</si>
  <si>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</si>
  <si>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</si>
  <si>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</si>
  <si>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</si>
  <si>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</si>
  <si>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</si>
  <si>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</si>
  <si>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</si>
  <si>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</si>
  <si>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</si>
  <si>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</si>
  <si>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</si>
  <si>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</si>
  <si>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</si>
  <si>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</si>
  <si>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</si>
  <si>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</si>
  <si>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</si>
  <si>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</si>
  <si>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</si>
  <si>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</si>
  <si>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</si>
  <si>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</si>
  <si>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</si>
  <si>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</si>
  <si>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</si>
  <si>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</si>
  <si>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</si>
  <si>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</si>
  <si>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</si>
  <si>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</si>
  <si>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</si>
  <si>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</si>
  <si>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</si>
  <si>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</si>
  <si>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</si>
  <si>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</si>
  <si>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</si>
  <si>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</si>
  <si>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</si>
  <si>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</si>
  <si>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</si>
  <si>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</si>
  <si>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</si>
  <si>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</si>
  <si>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</si>
  <si>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</si>
  <si>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</si>
  <si>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</si>
  <si>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</si>
  <si>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</si>
  <si>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</si>
  <si>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</si>
  <si>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</si>
  <si>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</si>
  <si>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</si>
  <si>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</si>
  <si>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</si>
  <si>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</si>
  <si>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</si>
  <si>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</si>
  <si>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</si>
  <si>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</si>
  <si>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</si>
  <si>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</si>
  <si>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</si>
  <si>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</si>
  <si>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</si>
  <si>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</si>
  <si>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</si>
  <si>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</si>
  <si>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</si>
  <si>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</si>
  <si>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</si>
  <si>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</si>
  <si>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</si>
  <si>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</si>
  <si>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</si>
  <si>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</si>
  <si>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</si>
  <si>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</si>
  <si>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</si>
  <si>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</si>
  <si>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</si>
  <si>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</si>
  <si>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</si>
  <si>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</si>
  <si>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</si>
  <si>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</si>
  <si>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</si>
  <si>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</si>
  <si>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</si>
  <si>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</si>
  <si>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</si>
  <si>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</si>
  <si>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</si>
  <si>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</si>
  <si>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</si>
  <si>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</si>
  <si>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</si>
  <si>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</si>
  <si>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</si>
  <si>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</si>
  <si>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</si>
  <si>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</si>
  <si>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</si>
  <si>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</si>
  <si>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</si>
  <si>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</si>
  <si>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</si>
  <si>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</si>
  <si>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</si>
  <si>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</si>
  <si>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</si>
  <si>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</si>
  <si>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</si>
  <si>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</si>
  <si>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</si>
  <si>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</si>
  <si>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</si>
  <si>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</si>
  <si>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</si>
  <si>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</si>
  <si>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</si>
  <si>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</si>
  <si>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</si>
  <si>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</si>
  <si>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</si>
  <si>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</si>
  <si>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</si>
  <si>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</si>
  <si>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</si>
  <si>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</si>
  <si>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</si>
  <si>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</si>
  <si>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</si>
  <si>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</si>
  <si>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</si>
  <si>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</si>
  <si>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</si>
  <si>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</si>
  <si>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</si>
  <si>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</si>
  <si>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</si>
  <si>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</si>
  <si>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</si>
  <si>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</si>
  <si>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</si>
  <si>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</si>
  <si>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</si>
  <si>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</si>
  <si>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</si>
  <si>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</si>
  <si>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</si>
  <si>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</si>
  <si>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</si>
  <si>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</si>
  <si>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</si>
  <si>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</si>
  <si>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</si>
  <si>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</si>
  <si>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</si>
  <si>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</si>
  <si>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</si>
  <si>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</si>
  <si>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</si>
  <si>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</si>
  <si>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</si>
  <si>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</si>
  <si>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</si>
  <si>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</si>
  <si>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</si>
  <si>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</si>
  <si>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</si>
  <si>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</si>
  <si>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</si>
  <si>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</si>
  <si>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</si>
  <si>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</si>
  <si>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</si>
  <si>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</si>
  <si>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</si>
  <si>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</si>
  <si>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</si>
  <si>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</si>
  <si>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</si>
  <si>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</si>
  <si>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</si>
  <si>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</si>
  <si>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</si>
  <si>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</si>
  <si>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</si>
  <si>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</si>
  <si>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</si>
  <si>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</si>
  <si>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</si>
  <si>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</si>
  <si>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</si>
  <si>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</si>
  <si>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</si>
  <si>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</si>
  <si>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</si>
  <si>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</si>
  <si>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</si>
  <si>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</si>
  <si>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</si>
  <si>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</si>
  <si>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</si>
  <si>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</si>
  <si>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</si>
  <si>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</si>
  <si>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</si>
  <si>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</si>
  <si>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</si>
  <si>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</si>
  <si>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</si>
  <si>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</si>
  <si>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</si>
  <si>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</si>
  <si>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</si>
  <si>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</si>
  <si>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</si>
  <si>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</si>
  <si>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</si>
  <si>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</si>
  <si>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</si>
  <si>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</si>
  <si>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</si>
  <si>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</si>
  <si>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</si>
  <si>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</si>
  <si>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</si>
  <si>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</si>
  <si>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</si>
  <si>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</si>
  <si>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</si>
  <si>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</si>
  <si>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</si>
  <si>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</si>
  <si>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</si>
  <si>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</si>
  <si>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</si>
  <si>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</si>
  <si>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</si>
  <si>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</si>
  <si>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</si>
  <si>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</si>
  <si>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</si>
  <si>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</si>
  <si>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</si>
  <si>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</si>
  <si>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</si>
  <si>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</si>
  <si>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</si>
  <si>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</si>
  <si>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</si>
  <si>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</si>
  <si>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</si>
  <si>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</si>
  <si>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</si>
  <si>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</si>
  <si>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</si>
  <si>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</si>
  <si>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</si>
  <si>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</si>
  <si>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</si>
  <si>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</si>
  <si>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</si>
  <si>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</si>
  <si>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</si>
  <si>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</si>
  <si>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</si>
  <si>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</si>
  <si>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</si>
  <si>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</si>
  <si>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</si>
  <si>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</si>
  <si>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</si>
  <si>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</si>
  <si>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</si>
  <si>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</si>
  <si>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</si>
  <si>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</si>
  <si>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</si>
  <si>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</si>
  <si>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</si>
  <si>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</si>
  <si>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</si>
  <si>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</si>
  <si>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</si>
  <si>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</si>
  <si>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</si>
  <si>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</si>
  <si>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</si>
  <si>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</si>
  <si>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</si>
  <si>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</si>
  <si>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</si>
  <si>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</si>
  <si>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</si>
  <si>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</si>
  <si>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</si>
  <si>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</si>
  <si>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</si>
  <si>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</si>
  <si>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</si>
  <si>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</si>
  <si>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</si>
  <si>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</si>
  <si>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</si>
  <si>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</si>
  <si>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</si>
  <si>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</si>
  <si>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</si>
  <si>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</si>
  <si>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</si>
  <si>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</si>
  <si>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</si>
  <si>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</si>
  <si>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</si>
  <si>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</si>
  <si>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</si>
  <si>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</si>
  <si>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</si>
  <si>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</si>
  <si>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</si>
  <si>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</si>
  <si>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</si>
  <si>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</si>
  <si>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</si>
  <si>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</si>
  <si>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</si>
  <si>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</si>
  <si>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</si>
  <si>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</si>
  <si>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</si>
  <si>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</si>
  <si>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</si>
  <si>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</si>
  <si>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</si>
  <si>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</si>
  <si>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</si>
  <si>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</si>
  <si>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</si>
  <si>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</si>
  <si>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</si>
  <si>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</si>
  <si>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</si>
  <si>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</si>
  <si>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</si>
  <si>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</si>
  <si>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</si>
  <si>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</si>
  <si>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</si>
  <si>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</si>
  <si>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</si>
  <si>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</si>
  <si>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</si>
  <si>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</si>
  <si>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</si>
  <si>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</si>
  <si>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</si>
  <si>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</si>
  <si>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</si>
  <si>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</si>
  <si>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</si>
  <si>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</si>
  <si>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</si>
  <si>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</si>
  <si>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</si>
  <si>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</si>
  <si>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</si>
  <si>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</si>
  <si>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</si>
  <si>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</si>
  <si>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</si>
  <si>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</si>
  <si>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</si>
  <si>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</si>
  <si>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</si>
  <si>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</si>
  <si>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</si>
  <si>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</si>
  <si>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</si>
  <si>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</si>
  <si>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</si>
  <si>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</si>
  <si>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</si>
  <si>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</si>
  <si>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</si>
  <si>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</si>
  <si>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</si>
  <si>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</si>
  <si>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</si>
  <si>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</si>
  <si>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</si>
  <si>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</si>
  <si>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</si>
  <si>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</si>
  <si>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</si>
  <si>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</si>
  <si>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</si>
  <si>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</si>
  <si>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</si>
  <si>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</si>
  <si>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</si>
  <si>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</si>
  <si>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</si>
  <si>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</si>
  <si>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</si>
  <si>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</si>
  <si>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</si>
  <si>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</si>
  <si>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</si>
  <si>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</si>
  <si>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</si>
  <si>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</si>
  <si>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</si>
  <si>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</si>
  <si>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</si>
  <si>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</si>
  <si>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</si>
  <si>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</si>
  <si>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</si>
  <si>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</si>
  <si>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</si>
  <si>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</si>
  <si>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</si>
  <si>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</si>
  <si>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</si>
  <si>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</si>
  <si>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</si>
  <si>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</si>
  <si>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</si>
  <si>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</si>
  <si>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</si>
  <si>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</si>
  <si>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</si>
  <si>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</si>
  <si>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</si>
  <si>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</si>
  <si>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</si>
  <si>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</si>
  <si>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</si>
  <si>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</si>
  <si>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</si>
  <si>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</si>
  <si>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</si>
  <si>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</si>
  <si>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</si>
  <si>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</si>
  <si>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</si>
  <si>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</si>
  <si>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</si>
  <si>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</si>
  <si>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</si>
  <si>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</si>
  <si>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</si>
  <si>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</si>
  <si>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</si>
  <si>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</si>
  <si>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</si>
  <si>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</si>
  <si>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</si>
  <si>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</si>
  <si>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</si>
  <si>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</si>
  <si>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</si>
  <si>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</si>
  <si>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</si>
  <si>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</si>
  <si>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</si>
  <si>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</si>
  <si>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</si>
  <si>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</si>
  <si>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</si>
  <si>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</si>
  <si>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</si>
  <si>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</si>
  <si>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</si>
  <si>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</si>
  <si>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</si>
  <si>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</si>
  <si>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</si>
  <si>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</si>
  <si>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</si>
  <si>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</si>
  <si>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</si>
  <si>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</si>
  <si>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</si>
  <si>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</si>
  <si>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</si>
  <si>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</si>
  <si>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</si>
  <si>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</si>
  <si>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</si>
  <si>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</si>
  <si>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</si>
  <si>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</si>
  <si>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</si>
  <si>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</si>
  <si>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</si>
  <si>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</si>
  <si>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</si>
  <si>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</si>
  <si>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</si>
  <si>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</si>
  <si>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</si>
  <si>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</si>
  <si>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</si>
  <si>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</si>
  <si>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</si>
  <si>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</si>
  <si>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</si>
  <si>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</si>
  <si>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</si>
  <si>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</si>
  <si>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</si>
  <si>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</si>
  <si>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</si>
  <si>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</si>
  <si>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</si>
  <si>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</si>
  <si>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</si>
  <si>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</si>
  <si>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</si>
  <si>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</si>
  <si>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</si>
  <si>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</si>
  <si>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</si>
  <si>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</si>
  <si>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</si>
  <si>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</si>
  <si>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</si>
  <si>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</si>
  <si>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</si>
  <si>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</si>
  <si>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</si>
  <si>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</si>
  <si>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</si>
  <si>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</si>
  <si>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</si>
  <si>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</si>
  <si>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</si>
  <si>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</si>
  <si>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</si>
  <si>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</si>
  <si>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</si>
  <si>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</si>
  <si>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</si>
  <si>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</si>
  <si>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</si>
  <si>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</si>
  <si>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</si>
  <si>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</si>
  <si>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</si>
  <si>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</si>
  <si>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</si>
  <si>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</si>
  <si>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</si>
  <si>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</si>
  <si>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</si>
  <si>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</si>
  <si>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</si>
  <si>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</si>
  <si>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</si>
  <si>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</si>
  <si>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</si>
  <si>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</si>
  <si>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</si>
  <si>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</si>
  <si>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</si>
  <si>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</si>
  <si>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</si>
  <si>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</si>
  <si>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</si>
  <si>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</si>
  <si>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</si>
  <si>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</si>
  <si>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</si>
  <si>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</si>
  <si>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</si>
  <si>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</si>
  <si>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</si>
  <si>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</si>
  <si>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</si>
  <si>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</si>
  <si>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</si>
  <si>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</si>
  <si>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</si>
  <si>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</si>
  <si>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</si>
  <si>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</si>
  <si>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</si>
  <si>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</si>
  <si>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</si>
  <si>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</si>
  <si>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</si>
  <si>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</si>
  <si>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</si>
  <si>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</si>
  <si>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</si>
  <si>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</si>
  <si>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</si>
  <si>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</si>
  <si>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</si>
  <si>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</si>
  <si>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</si>
  <si>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</si>
  <si>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</si>
  <si>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</si>
  <si>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</si>
  <si>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</si>
  <si>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</si>
  <si>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</si>
  <si>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</si>
  <si>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</si>
  <si>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</si>
  <si>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</si>
  <si>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</si>
  <si>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</si>
  <si>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</si>
  <si>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</si>
  <si>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</si>
  <si>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</si>
  <si>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</si>
  <si>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</si>
  <si>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</si>
  <si>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</si>
  <si>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</si>
  <si>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</si>
  <si>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</si>
  <si>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</si>
  <si>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</si>
  <si>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</si>
  <si>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</si>
  <si>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</si>
  <si>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</si>
  <si>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</si>
  <si>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</si>
  <si>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</si>
  <si>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</si>
  <si>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</si>
  <si>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</si>
  <si>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</si>
  <si>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</si>
  <si>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</si>
  <si>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</si>
  <si>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</si>
  <si>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</si>
  <si>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</si>
  <si>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</si>
  <si>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</si>
  <si>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</si>
  <si>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</si>
  <si>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</si>
  <si>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</si>
  <si>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</si>
  <si>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</si>
  <si>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</si>
  <si>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</si>
  <si>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</si>
  <si>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</si>
  <si>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</si>
  <si>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</si>
  <si>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</si>
  <si>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</si>
  <si>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</si>
  <si>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</si>
  <si>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</si>
  <si>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</si>
  <si>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</si>
  <si>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</si>
  <si>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</si>
  <si>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</si>
  <si>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</si>
  <si>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</si>
  <si>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</si>
  <si>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</si>
  <si>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</si>
  <si>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</si>
  <si>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</si>
  <si>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</si>
  <si>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</si>
  <si>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</si>
  <si>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</si>
  <si>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</si>
  <si>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</si>
  <si>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</si>
  <si>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</si>
  <si>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</si>
  <si>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</si>
  <si>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</si>
  <si>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</si>
  <si>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</si>
  <si>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</si>
  <si>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</si>
  <si>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</si>
  <si>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</si>
  <si>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</si>
  <si>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</si>
  <si>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</si>
  <si>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</si>
  <si>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</si>
  <si>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</si>
  <si>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</si>
  <si>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</si>
  <si>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</si>
  <si>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</si>
  <si>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</si>
  <si>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</si>
  <si>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</si>
  <si>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</si>
  <si>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</si>
  <si>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</si>
  <si>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</si>
  <si>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</si>
  <si>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</si>
  <si>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</si>
  <si>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</si>
  <si>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</si>
  <si>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</si>
  <si>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</si>
  <si>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</si>
  <si>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</si>
  <si>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</si>
  <si>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</si>
  <si>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</si>
  <si>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</si>
  <si>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</si>
  <si>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</si>
  <si>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</si>
  <si>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</si>
  <si>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</si>
  <si>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</si>
  <si>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</si>
  <si>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</si>
  <si>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</si>
  <si>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</si>
  <si>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</si>
  <si>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</si>
  <si>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</si>
  <si>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</si>
  <si>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</si>
  <si>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</si>
  <si>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</si>
  <si>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</si>
  <si>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</si>
  <si>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</si>
  <si>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</si>
  <si>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</si>
  <si>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</si>
  <si>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</si>
  <si>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</si>
  <si>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</si>
  <si>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</si>
  <si>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</si>
  <si>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</si>
  <si>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</si>
  <si>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</si>
  <si>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</si>
  <si>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</si>
  <si>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</si>
  <si>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</si>
  <si>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</si>
  <si>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</si>
  <si>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</si>
  <si>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</si>
  <si>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</si>
  <si>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</si>
  <si>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</si>
  <si>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</si>
  <si>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</si>
  <si>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</si>
  <si>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</si>
  <si>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</si>
  <si>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</si>
  <si>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</si>
  <si>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</si>
  <si>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</si>
  <si>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</si>
  <si>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</si>
  <si>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</si>
  <si>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</si>
  <si>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</si>
  <si>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</si>
  <si>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</si>
  <si>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</si>
  <si>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</si>
  <si>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</si>
  <si>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</si>
  <si>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</si>
  <si>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</si>
  <si>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</si>
  <si>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</si>
  <si>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</si>
  <si>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</si>
  <si>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</si>
  <si>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</si>
  <si>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</si>
  <si>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</si>
  <si>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</si>
  <si>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</si>
  <si>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</si>
  <si>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</si>
  <si>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</si>
  <si>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</si>
  <si>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</si>
  <si>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</si>
  <si>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</si>
  <si>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</si>
  <si>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</si>
  <si>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</si>
  <si>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</si>
  <si>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</si>
  <si>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</si>
  <si>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</si>
  <si>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</si>
  <si>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</si>
  <si>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</si>
  <si>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</si>
  <si>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</si>
  <si>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</si>
  <si>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</si>
  <si>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</si>
  <si>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</si>
  <si>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</si>
  <si>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</si>
  <si>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</si>
  <si>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</si>
  <si>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</si>
  <si>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</si>
  <si>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</si>
  <si>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</si>
  <si>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</si>
  <si>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</si>
  <si>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</si>
  <si>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</si>
  <si>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</si>
  <si>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</si>
  <si>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</si>
  <si>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</si>
  <si>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</si>
  <si>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</si>
  <si>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</si>
  <si>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</si>
  <si>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</si>
  <si>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</si>
  <si>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</si>
  <si>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</si>
  <si>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</si>
  <si>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</si>
  <si>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</si>
  <si>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</si>
  <si>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</si>
  <si>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</si>
  <si>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</si>
  <si>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</si>
  <si>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</si>
  <si>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</si>
  <si>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</si>
  <si>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</si>
  <si>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</si>
  <si>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</si>
  <si>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</si>
  <si>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</si>
  <si>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</si>
  <si>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</si>
  <si>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</si>
  <si>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</si>
  <si>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</si>
  <si>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</si>
  <si>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</si>
  <si>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</si>
  <si>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</si>
  <si>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</si>
  <si>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</si>
  <si>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</si>
  <si>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</si>
  <si>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</si>
  <si>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</si>
  <si>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</si>
  <si>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</si>
  <si>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</si>
  <si>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</si>
  <si>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</si>
  <si>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</si>
  <si>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</si>
  <si>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</si>
  <si>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</si>
  <si>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</si>
  <si>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</si>
  <si>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</si>
  <si>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</si>
  <si>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</si>
  <si>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</si>
  <si>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</si>
  <si>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</si>
  <si>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</si>
  <si>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</si>
  <si>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</si>
  <si>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</si>
  <si>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</si>
  <si>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</si>
  <si>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</si>
  <si>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</si>
  <si>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</si>
  <si>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</si>
  <si>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</si>
  <si>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</si>
  <si>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</si>
  <si>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</si>
  <si>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</si>
  <si>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</si>
  <si>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</si>
  <si>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</si>
  <si>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</si>
  <si>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</si>
  <si>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</si>
  <si>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</si>
  <si>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</si>
  <si>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</si>
  <si>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</si>
  <si>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</si>
  <si>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</si>
  <si>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</si>
  <si>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</si>
  <si>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</si>
  <si>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</si>
  <si>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</si>
  <si>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</si>
  <si>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</si>
  <si>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</si>
  <si>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</si>
  <si>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</si>
  <si>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</si>
  <si>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</si>
  <si>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</si>
  <si>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</si>
  <si>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</si>
  <si>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</si>
  <si>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</si>
  <si>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</si>
  <si>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</si>
  <si>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</si>
  <si>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</si>
  <si>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</si>
  <si>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</si>
  <si>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</si>
  <si>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</si>
  <si>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</si>
  <si>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</si>
  <si>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</si>
  <si>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</si>
  <si>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</si>
  <si>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</si>
  <si>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</si>
  <si>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</si>
  <si>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</si>
  <si>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</si>
  <si>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</si>
  <si>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</si>
  <si>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</si>
  <si>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</si>
  <si>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</si>
  <si>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</si>
  <si>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</si>
  <si>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</si>
  <si>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</si>
  <si>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</si>
  <si>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</si>
  <si>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</si>
  <si>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</si>
  <si>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</si>
  <si>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</si>
  <si>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</si>
  <si>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</si>
  <si>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</si>
  <si>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</si>
  <si>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</si>
  <si>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</si>
  <si>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</si>
  <si>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</si>
  <si>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</si>
  <si>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</si>
  <si>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</si>
  <si>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</si>
  <si>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</si>
  <si>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</si>
  <si>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</si>
  <si>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</si>
  <si>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</si>
  <si>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</si>
  <si>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</si>
  <si>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</si>
  <si>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</si>
  <si>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</si>
  <si>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</si>
  <si>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</si>
  <si>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</si>
  <si>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</si>
  <si>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</si>
  <si>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</si>
  <si>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</si>
  <si>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</si>
  <si>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</si>
  <si>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</si>
  <si>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</si>
  <si>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</si>
  <si>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</si>
  <si>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</si>
  <si>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</si>
  <si>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</si>
  <si>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</si>
  <si>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</si>
  <si>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</si>
  <si>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</si>
  <si>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</si>
  <si>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</si>
  <si>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</si>
  <si>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</si>
  <si>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</si>
  <si>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</si>
  <si>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</si>
  <si>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</si>
  <si>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</si>
  <si>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</si>
  <si>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</si>
  <si>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</si>
  <si>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</si>
  <si>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</si>
  <si>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</si>
  <si>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</si>
  <si>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</si>
  <si>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</si>
  <si>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</si>
  <si>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</si>
  <si>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</si>
  <si>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</si>
  <si>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</si>
  <si>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</si>
  <si>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</si>
  <si>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</si>
  <si>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</si>
  <si>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</si>
  <si>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</si>
  <si>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</si>
  <si>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</si>
  <si>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</si>
  <si>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</si>
  <si>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</si>
  <si>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</si>
  <si>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</si>
  <si>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</si>
  <si>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</si>
  <si>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</si>
  <si>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</si>
  <si>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</si>
  <si>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</si>
  <si>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</si>
  <si>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</si>
  <si>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</si>
  <si>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</si>
  <si>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</si>
  <si>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</si>
  <si>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</si>
  <si>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</si>
  <si>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</si>
  <si>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</si>
  <si>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</si>
  <si>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</si>
  <si>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</si>
  <si>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</si>
  <si>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</si>
  <si>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</si>
  <si>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</si>
  <si>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</si>
  <si>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</si>
  <si>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</si>
  <si>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</si>
  <si>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</si>
  <si>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</si>
  <si>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</si>
  <si>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</si>
  <si>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</si>
  <si>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</si>
  <si>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</si>
  <si>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</si>
  <si>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</si>
  <si>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</si>
  <si>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</si>
  <si>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</si>
  <si>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</si>
  <si>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</si>
  <si>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</si>
  <si>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</si>
  <si>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</si>
  <si>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</si>
  <si>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</si>
  <si>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</si>
  <si>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</si>
  <si>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</si>
  <si>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</si>
  <si>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</si>
  <si>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</si>
  <si>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</si>
  <si>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</si>
  <si>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</si>
  <si>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</si>
  <si>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</si>
  <si>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</si>
  <si>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</si>
  <si>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</si>
  <si>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</si>
  <si>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</si>
  <si>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</si>
  <si>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</si>
  <si>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</si>
  <si>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</si>
  <si>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</si>
  <si>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</si>
  <si>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</si>
  <si>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</si>
  <si>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</si>
  <si>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</si>
  <si>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</si>
  <si>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</si>
  <si>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</si>
  <si>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</si>
  <si>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</si>
  <si>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</si>
  <si>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</si>
  <si>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</si>
  <si>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</si>
  <si>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</si>
  <si>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</si>
  <si>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</si>
  <si>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</si>
  <si>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</si>
  <si>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</si>
  <si>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</si>
  <si>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</si>
  <si>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</si>
  <si>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</si>
  <si>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</si>
  <si>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</si>
  <si>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</si>
  <si>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</si>
  <si>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</si>
  <si>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</si>
  <si>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</si>
  <si>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</si>
  <si>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</si>
  <si>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</si>
  <si>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</si>
  <si>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</si>
  <si>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</si>
  <si>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</si>
  <si>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</si>
  <si>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</si>
  <si>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</si>
  <si>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</si>
  <si>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</si>
  <si>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</si>
  <si>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</si>
  <si>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</si>
  <si>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</si>
  <si>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</si>
  <si>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</si>
  <si>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</si>
  <si>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</si>
  <si>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</si>
  <si>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</si>
  <si>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</si>
  <si>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</si>
  <si>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</si>
  <si>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</si>
  <si>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</si>
  <si>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</si>
  <si>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</si>
  <si>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</si>
  <si>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</si>
  <si>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</si>
  <si>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</si>
  <si>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</si>
  <si>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</si>
  <si>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</si>
  <si>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</si>
  <si>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</si>
  <si>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</si>
  <si>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</si>
  <si>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</si>
  <si>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</si>
  <si>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</si>
  <si>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</si>
  <si>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</si>
  <si>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</si>
  <si>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</si>
  <si>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</si>
  <si>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</si>
  <si>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</si>
  <si>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</si>
  <si>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</si>
  <si>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</si>
  <si>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</si>
  <si>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</si>
  <si>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</si>
  <si>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</si>
  <si>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</si>
  <si>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</si>
  <si>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</si>
  <si>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</si>
  <si>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</si>
  <si>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</si>
  <si>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</si>
  <si>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</si>
  <si>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</si>
  <si>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</si>
  <si>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</si>
  <si>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</si>
  <si>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</si>
  <si>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</si>
  <si>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</si>
  <si>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</si>
  <si>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</si>
  <si>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</si>
  <si>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</si>
  <si>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</si>
  <si>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</si>
  <si>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</si>
  <si>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</si>
  <si>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</si>
  <si>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</si>
  <si>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</si>
  <si>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</si>
  <si>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</si>
  <si>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</si>
  <si>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</si>
  <si>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</si>
  <si>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</si>
  <si>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</si>
  <si>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</si>
  <si>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</si>
  <si>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</si>
  <si>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</si>
  <si>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</si>
  <si>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</si>
  <si>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</si>
  <si>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</si>
  <si>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</si>
  <si>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</si>
  <si>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</si>
  <si>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</si>
  <si>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</si>
  <si>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</si>
  <si>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</si>
  <si>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</si>
  <si>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</si>
  <si>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</si>
  <si>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</si>
  <si>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</si>
  <si>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</si>
  <si>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</si>
  <si>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</si>
  <si>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</si>
  <si>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</si>
  <si>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</si>
  <si>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</si>
  <si>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</si>
  <si>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</si>
  <si>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</si>
  <si>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</si>
  <si>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</si>
  <si>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</si>
  <si>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</si>
  <si>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</si>
  <si>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</si>
  <si>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</si>
  <si>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</si>
  <si>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</si>
  <si>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</si>
  <si>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</si>
  <si>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</si>
  <si>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</si>
  <si>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</si>
  <si>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</si>
  <si>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</si>
  <si>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</si>
  <si>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</si>
  <si>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</si>
  <si>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</si>
  <si>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</si>
  <si>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</si>
  <si>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</si>
  <si>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</si>
  <si>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</si>
  <si>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</si>
  <si>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</si>
  <si>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</si>
  <si>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</si>
  <si>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</si>
  <si>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</si>
  <si>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</si>
  <si>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</si>
  <si>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</si>
  <si>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</si>
  <si>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</si>
  <si>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</si>
  <si>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</si>
  <si>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</si>
  <si>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</si>
  <si>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</si>
  <si>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</si>
  <si>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</si>
  <si>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</si>
  <si>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</si>
  <si>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</si>
  <si>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</si>
  <si>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</si>
  <si>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</si>
  <si>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</si>
  <si>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</si>
  <si>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</si>
  <si>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</si>
  <si>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</si>
  <si>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</si>
  <si>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</si>
  <si>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</si>
  <si>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</si>
  <si>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</si>
  <si>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</si>
  <si>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</si>
  <si>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</si>
  <si>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</si>
  <si>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</si>
  <si>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</si>
  <si>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</si>
  <si>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</si>
  <si>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</si>
  <si>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</si>
  <si>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</si>
  <si>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</si>
  <si>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</si>
  <si>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</si>
  <si>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</si>
  <si>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</si>
  <si>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</si>
  <si>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</si>
  <si>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</si>
  <si>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</si>
  <si>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</si>
  <si>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</si>
  <si>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</si>
  <si>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</si>
  <si>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</si>
  <si>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</si>
  <si>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</si>
  <si>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</si>
  <si>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</si>
  <si>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</si>
  <si>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</si>
  <si>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</si>
  <si>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</si>
  <si>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</si>
  <si>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</si>
  <si>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</si>
  <si>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</si>
  <si>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</si>
  <si>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</si>
  <si>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</si>
  <si>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</si>
  <si>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</si>
  <si>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</si>
  <si>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</si>
  <si>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</si>
  <si>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</si>
  <si>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</si>
  <si>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</si>
  <si>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</si>
  <si>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</si>
  <si>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</si>
  <si>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</si>
  <si>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</si>
  <si>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</si>
  <si>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</si>
  <si>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</si>
  <si>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</si>
  <si>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</si>
  <si>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</si>
  <si>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</si>
  <si>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</si>
  <si>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</si>
  <si>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</si>
  <si>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</si>
  <si>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</si>
  <si>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</si>
  <si>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</si>
  <si>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</si>
  <si>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</si>
  <si>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</si>
  <si>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</si>
  <si>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</si>
  <si>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</si>
  <si>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</si>
  <si>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</si>
  <si>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</si>
  <si>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</si>
  <si>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</si>
  <si>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</si>
  <si>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</si>
  <si>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</si>
  <si>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</si>
  <si>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</si>
  <si>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</si>
  <si>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</si>
  <si>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</si>
  <si>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</si>
  <si>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</si>
  <si>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</si>
  <si>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</si>
  <si>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</si>
  <si>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</si>
  <si>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</si>
  <si>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</si>
  <si>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</si>
  <si>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</si>
  <si>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</si>
  <si>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</si>
  <si>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</si>
  <si>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</si>
  <si>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</si>
  <si>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</si>
  <si>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</si>
  <si>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</si>
  <si>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</si>
  <si>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</si>
  <si>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</si>
  <si>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</si>
  <si>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</si>
  <si>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</si>
  <si>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</si>
  <si>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</si>
  <si>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</si>
  <si>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</si>
  <si>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</si>
  <si>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</si>
  <si>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</si>
  <si>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</si>
  <si>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</si>
  <si>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</si>
  <si>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</si>
  <si>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</si>
  <si>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</si>
  <si>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</si>
  <si>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</si>
  <si>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</si>
  <si>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</si>
  <si>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</si>
  <si>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</si>
  <si>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</si>
  <si>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</si>
  <si>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</si>
  <si>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</si>
  <si>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</si>
  <si>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</si>
  <si>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</si>
  <si>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</si>
  <si>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</si>
  <si>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</si>
  <si>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</si>
  <si>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</si>
  <si>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</si>
  <si>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</si>
  <si>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</si>
  <si>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</si>
  <si>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</si>
  <si>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</si>
  <si>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</si>
  <si>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</si>
  <si>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</si>
  <si>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</si>
  <si>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</si>
  <si>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</si>
  <si>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</si>
  <si>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</si>
  <si>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</si>
  <si>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</si>
  <si>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</si>
  <si>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</si>
  <si>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</si>
  <si>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</si>
  <si>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</si>
  <si>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</si>
  <si>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</si>
  <si>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</si>
  <si>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</si>
  <si>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</si>
  <si>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</si>
  <si>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</si>
  <si>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</si>
  <si>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</si>
  <si>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</si>
  <si>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</si>
  <si>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</si>
  <si>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</si>
  <si>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</si>
  <si>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</si>
  <si>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</si>
  <si>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</si>
  <si>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</si>
  <si>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</si>
  <si>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</si>
  <si>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</si>
  <si>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</si>
  <si>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</si>
  <si>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</si>
  <si>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</si>
  <si>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</si>
  <si>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</si>
  <si>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</si>
  <si>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</si>
  <si>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</si>
  <si>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</si>
  <si>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</si>
  <si>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</si>
  <si>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</si>
  <si>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</si>
  <si>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</si>
  <si>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</si>
  <si>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</si>
  <si>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</si>
  <si>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</si>
  <si>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</si>
  <si>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</si>
  <si>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</si>
  <si>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</si>
  <si>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</si>
  <si>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</si>
  <si>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</si>
  <si>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</si>
  <si>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</si>
  <si>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</si>
  <si>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</si>
  <si>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</si>
  <si>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</si>
  <si>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</si>
  <si>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</si>
  <si>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</si>
  <si>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</si>
  <si>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</si>
  <si>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</si>
  <si>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</si>
  <si>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</si>
  <si>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</si>
  <si>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</si>
  <si>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</si>
  <si>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</si>
  <si>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</si>
  <si>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</si>
  <si>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</si>
  <si>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</si>
  <si>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</si>
  <si>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</si>
  <si>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</si>
  <si>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</si>
  <si>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</si>
  <si>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</si>
  <si>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</si>
  <si>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</si>
  <si>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</si>
  <si>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</si>
  <si>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</si>
  <si>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</si>
  <si>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</si>
  <si>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</si>
  <si>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</si>
  <si>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</si>
  <si>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</si>
  <si>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</si>
  <si>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</si>
  <si>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</si>
  <si>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</si>
  <si>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</si>
  <si>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</si>
  <si>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</si>
  <si>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</si>
  <si>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</si>
  <si>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</si>
  <si>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</si>
  <si>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</si>
  <si>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</si>
  <si>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</si>
  <si>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</si>
  <si>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</si>
  <si>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</si>
  <si>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</si>
  <si>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</si>
  <si>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</si>
  <si>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</si>
  <si>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</si>
  <si>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</si>
  <si>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</si>
  <si>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</si>
  <si>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</si>
  <si>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</si>
  <si>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</si>
  <si>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</si>
  <si>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</si>
  <si>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</si>
  <si>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</si>
  <si>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</si>
  <si>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</si>
  <si>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</si>
  <si>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</si>
  <si>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</si>
  <si>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</si>
  <si>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</si>
  <si>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</si>
  <si>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</si>
  <si>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</si>
  <si>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</si>
  <si>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</si>
  <si>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</si>
  <si>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</si>
  <si>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</si>
  <si>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</si>
  <si>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</si>
  <si>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</si>
  <si>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</si>
  <si>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</si>
  <si>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</si>
  <si>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</si>
  <si>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</si>
  <si>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</si>
  <si>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</si>
  <si>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</si>
  <si>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</si>
  <si>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</si>
  <si>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</si>
  <si>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</si>
  <si>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</si>
  <si>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</si>
  <si>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</si>
  <si>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</si>
  <si>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</si>
  <si>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</si>
  <si>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</si>
  <si>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</si>
  <si>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</si>
  <si>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</si>
  <si>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</si>
  <si>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</si>
  <si>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</si>
  <si>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</si>
  <si>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</si>
  <si>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</si>
  <si>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</si>
  <si>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</si>
  <si>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</si>
  <si>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</si>
  <si>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</si>
  <si>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</si>
  <si>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</si>
  <si>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</si>
  <si>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</si>
  <si>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</si>
  <si>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</si>
  <si>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</si>
  <si>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</si>
  <si>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</si>
  <si>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</si>
  <si>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</si>
  <si>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</si>
  <si>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</si>
  <si>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</si>
  <si>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</si>
  <si>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</si>
  <si>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</si>
  <si>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</si>
  <si>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</si>
  <si>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</si>
  <si>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</si>
  <si>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</si>
  <si>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</si>
  <si>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</si>
  <si>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</si>
  <si>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</si>
  <si>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</si>
  <si>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</si>
  <si>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</si>
  <si>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</si>
  <si>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</si>
  <si>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</si>
  <si>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</si>
  <si>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</si>
  <si>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</si>
  <si>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</si>
  <si>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</si>
  <si>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</si>
  <si>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</si>
  <si>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</si>
  <si>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</si>
  <si>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</si>
  <si>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</si>
  <si>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</si>
  <si>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</si>
  <si>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</si>
  <si>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</si>
  <si>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</si>
  <si>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</si>
  <si>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</si>
  <si>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</si>
  <si>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</si>
  <si>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</si>
  <si>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</si>
  <si>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</si>
  <si>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</si>
  <si>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</si>
  <si>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</si>
  <si>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</si>
  <si>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</si>
  <si>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</si>
  <si>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</si>
  <si>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</si>
  <si>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</si>
  <si>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</si>
  <si>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</si>
  <si>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</si>
  <si>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</si>
  <si>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</si>
  <si>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</si>
  <si>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</si>
  <si>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</si>
  <si>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</si>
  <si>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</si>
  <si>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</si>
  <si>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</si>
  <si>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</si>
  <si>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</si>
  <si>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</si>
  <si>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</si>
  <si>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</si>
  <si>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</si>
  <si>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</si>
  <si>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</si>
  <si>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</si>
  <si>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</si>
  <si>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</si>
  <si>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</si>
  <si>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</si>
  <si>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</si>
  <si>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</si>
  <si>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</si>
  <si>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</si>
  <si>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</si>
  <si>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</si>
  <si>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</si>
  <si>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</si>
  <si>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</si>
  <si>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</si>
  <si>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</si>
  <si>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</si>
  <si>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</si>
  <si>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</si>
  <si>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</si>
  <si>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</si>
  <si>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</si>
  <si>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</si>
  <si>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</si>
  <si>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</si>
  <si>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</si>
  <si>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</si>
  <si>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</si>
  <si>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</si>
  <si>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</si>
  <si>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</si>
  <si>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</si>
  <si>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</si>
  <si>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</si>
  <si>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</si>
  <si>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</si>
  <si>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</si>
  <si>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</si>
  <si>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</si>
  <si>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</si>
  <si>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</si>
  <si>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</si>
  <si>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</si>
  <si>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</si>
  <si>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</si>
  <si>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</si>
  <si>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</si>
  <si>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</si>
  <si>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</si>
  <si>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</si>
  <si>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</si>
  <si>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</si>
  <si>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</si>
  <si>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</si>
  <si>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</si>
  <si>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</si>
  <si>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</si>
  <si>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</si>
  <si>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</si>
  <si>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</si>
  <si>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</si>
  <si>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</si>
  <si>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</si>
  <si>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</si>
  <si>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</si>
  <si>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</si>
  <si>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</si>
  <si>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</si>
  <si>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</si>
  <si>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</si>
  <si>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</si>
  <si>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</si>
  <si>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</si>
  <si>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</si>
  <si>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</si>
  <si>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</si>
  <si>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</si>
  <si>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</si>
  <si>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</si>
  <si>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</si>
  <si>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</si>
  <si>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</si>
  <si>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</si>
  <si>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</si>
  <si>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</si>
  <si>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</si>
  <si>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</si>
  <si>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</si>
  <si>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</si>
  <si>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</si>
  <si>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</si>
  <si>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</si>
  <si>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</si>
  <si>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</si>
  <si>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</si>
  <si>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</si>
  <si>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</si>
  <si>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</si>
  <si>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</si>
  <si>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</si>
  <si>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</si>
  <si>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</si>
  <si>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</si>
  <si>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</si>
  <si>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</si>
  <si>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</si>
  <si>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</si>
  <si>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</si>
  <si>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</si>
  <si>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</si>
  <si>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</si>
  <si>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</si>
  <si>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</si>
  <si>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</si>
  <si>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</si>
  <si>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</si>
  <si>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</si>
  <si>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</si>
  <si>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</si>
  <si>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</si>
  <si>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</si>
  <si>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</si>
  <si>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</si>
  <si>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</si>
  <si>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</si>
  <si>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</si>
  <si>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</si>
  <si>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</si>
  <si>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</si>
  <si>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</si>
  <si>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</si>
  <si>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</si>
  <si>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</si>
  <si>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</si>
  <si>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</si>
  <si>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</si>
  <si>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</si>
  <si>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</si>
  <si>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</si>
  <si>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</si>
  <si>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</si>
  <si>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</si>
  <si>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</si>
  <si>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</si>
  <si>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</si>
  <si>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</si>
  <si>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</si>
  <si>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</si>
  <si>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</si>
  <si>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</si>
  <si>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</si>
  <si>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</si>
  <si>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</si>
  <si>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</si>
  <si>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</si>
  <si>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</si>
  <si>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</si>
  <si>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</si>
  <si>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</si>
  <si>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</si>
  <si>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</si>
  <si>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</si>
  <si>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</si>
  <si>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</si>
  <si>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</si>
  <si>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</si>
  <si>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</si>
  <si>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</si>
  <si>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</si>
  <si>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</si>
  <si>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</si>
  <si>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</si>
  <si>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</si>
  <si>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</si>
  <si>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</si>
  <si>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</si>
  <si>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</si>
  <si>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</si>
  <si>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</si>
  <si>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</si>
  <si>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</si>
  <si>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</si>
  <si>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</si>
  <si>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</si>
  <si>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</si>
  <si>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</si>
  <si>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</si>
  <si>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</si>
  <si>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</si>
  <si>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</si>
  <si>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</si>
  <si>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</si>
  <si>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</si>
  <si>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</si>
  <si>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</si>
  <si>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</si>
  <si>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</si>
  <si>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</si>
  <si>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</si>
  <si>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</si>
  <si>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</si>
  <si>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</si>
  <si>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</si>
  <si>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</si>
  <si>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</si>
  <si>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</si>
  <si>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</si>
  <si>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</si>
  <si>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</si>
  <si>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</si>
  <si>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</si>
  <si>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</si>
  <si>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</si>
  <si>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</si>
  <si>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</si>
  <si>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</si>
  <si>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</si>
  <si>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</si>
  <si>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</si>
  <si>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</si>
  <si>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</si>
  <si>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</si>
  <si>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</si>
  <si>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</si>
  <si>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</si>
  <si>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</si>
  <si>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</si>
  <si>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</si>
  <si>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</si>
  <si>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</si>
  <si>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</si>
  <si>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</si>
  <si>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</si>
  <si>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</si>
  <si>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</si>
  <si>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</si>
  <si>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</si>
  <si>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</si>
  <si>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</si>
  <si>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</si>
  <si>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</si>
  <si>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</si>
  <si>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</si>
  <si>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</si>
  <si>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</si>
  <si>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</si>
  <si>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</si>
  <si>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</si>
  <si>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</si>
  <si>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</si>
  <si>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</si>
  <si>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</si>
  <si>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</si>
  <si>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</si>
  <si>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</si>
  <si>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</si>
  <si>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</si>
  <si>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</si>
  <si>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</si>
  <si>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</si>
  <si>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</si>
  <si>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</si>
  <si>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</si>
  <si>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</si>
  <si>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</si>
  <si>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</si>
  <si>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</si>
  <si>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</si>
  <si>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</si>
  <si>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</si>
  <si>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</si>
  <si>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</si>
  <si>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</si>
  <si>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</si>
  <si>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</si>
  <si>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</si>
  <si>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</si>
  <si>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</si>
  <si>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</si>
  <si>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</si>
  <si>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</si>
  <si>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</si>
  <si>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</si>
  <si>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</si>
  <si>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</si>
  <si>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</si>
  <si>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</si>
  <si>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</si>
  <si>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</si>
  <si>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</si>
  <si>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</si>
  <si>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</si>
  <si>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</si>
  <si>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</si>
  <si>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</si>
  <si>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</si>
  <si>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</si>
  <si>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</si>
  <si>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</si>
  <si>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</si>
  <si>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</si>
  <si>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</si>
  <si>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</si>
  <si>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</si>
  <si>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</si>
  <si>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</si>
  <si>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</si>
  <si>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</si>
  <si>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</si>
  <si>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</si>
  <si>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</si>
  <si>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</si>
  <si>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</si>
  <si>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</si>
  <si>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</si>
  <si>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</si>
  <si>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</si>
  <si>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</si>
  <si>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</si>
  <si>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</si>
  <si>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</si>
  <si>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</si>
  <si>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</si>
  <si>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</si>
  <si>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</si>
  <si>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</si>
  <si>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</si>
  <si>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</si>
  <si>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</si>
  <si>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</si>
  <si>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</si>
  <si>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</si>
  <si>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</si>
  <si>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</si>
  <si>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</si>
  <si>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</si>
  <si>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</si>
  <si>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</si>
  <si>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</si>
  <si>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</si>
  <si>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</si>
  <si>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</si>
  <si>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</si>
  <si>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</si>
  <si>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</si>
  <si>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</si>
  <si>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</si>
  <si>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</si>
  <si>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</si>
  <si>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</si>
  <si>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</si>
  <si>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</si>
  <si>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</si>
  <si>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</si>
  <si>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</si>
  <si>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</si>
  <si>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</si>
  <si>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</si>
  <si>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</si>
  <si>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</si>
  <si>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</si>
  <si>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</si>
  <si>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</si>
  <si>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</si>
  <si>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</si>
  <si>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</si>
  <si>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</si>
  <si>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</si>
  <si>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</si>
  <si>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</si>
  <si>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</si>
  <si>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</si>
  <si>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</si>
  <si>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</si>
  <si>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</si>
  <si>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</si>
  <si>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</si>
  <si>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</si>
  <si>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</si>
  <si>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</si>
  <si>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</si>
  <si>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</si>
  <si>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</si>
  <si>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</si>
  <si>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</si>
  <si>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</si>
  <si>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</si>
  <si>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</si>
  <si>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</si>
  <si>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</si>
  <si>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</si>
  <si>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</si>
  <si>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</si>
  <si>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</si>
  <si>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</si>
  <si>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</si>
  <si>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</si>
  <si>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</si>
  <si>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</si>
  <si>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</si>
  <si>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</si>
  <si>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</si>
  <si>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</si>
  <si>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</si>
  <si>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</si>
  <si>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</si>
  <si>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</si>
  <si>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</si>
  <si>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</si>
  <si>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</si>
  <si>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</si>
  <si>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</si>
  <si>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</si>
  <si>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</si>
  <si>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</si>
  <si>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</si>
  <si>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</si>
  <si>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</si>
  <si>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</si>
  <si>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</si>
  <si>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</si>
  <si>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</si>
  <si>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</si>
  <si>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</si>
  <si>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</si>
  <si>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</si>
  <si>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</si>
  <si>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</si>
  <si>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</si>
  <si>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</si>
  <si>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</si>
  <si>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</si>
  <si>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</si>
  <si>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</si>
  <si>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</si>
  <si>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</si>
  <si>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</si>
  <si>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</si>
  <si>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</si>
  <si>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</si>
  <si>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</si>
  <si>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</si>
  <si>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</si>
  <si>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</si>
  <si>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</si>
  <si>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</si>
  <si>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</si>
  <si>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</si>
  <si>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</si>
  <si>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</si>
  <si>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</si>
  <si>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</si>
  <si>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</si>
  <si>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</si>
  <si>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</si>
  <si>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</si>
  <si>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</si>
  <si>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</si>
  <si>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</si>
  <si>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</si>
  <si>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</si>
  <si>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</si>
  <si>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</si>
  <si>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</si>
  <si>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</si>
  <si>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</si>
  <si>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</si>
  <si>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</si>
  <si>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</si>
  <si>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</si>
  <si>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</si>
  <si>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</si>
  <si>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</si>
  <si>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</si>
  <si>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</si>
  <si>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</si>
  <si>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</si>
  <si>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</si>
  <si>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</si>
  <si>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</si>
  <si>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</si>
  <si>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</si>
  <si>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</si>
  <si>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</si>
  <si>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</si>
  <si>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</si>
  <si>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</si>
  <si>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</si>
  <si>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</si>
  <si>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</si>
  <si>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</si>
  <si>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</si>
  <si>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</si>
  <si>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</si>
  <si>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</si>
  <si>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</si>
  <si>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</si>
  <si>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</si>
  <si>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</si>
  <si>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</si>
  <si>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</si>
  <si>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</si>
  <si>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</si>
  <si>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</si>
  <si>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</si>
  <si>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</si>
  <si>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</si>
  <si>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</si>
  <si>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</si>
  <si>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</si>
  <si>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</si>
  <si>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</si>
  <si>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</si>
  <si>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</si>
  <si>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</si>
  <si>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</si>
  <si>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</si>
  <si>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</si>
  <si>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</si>
  <si>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</si>
  <si>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</si>
  <si>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</si>
  <si>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</si>
  <si>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</si>
  <si>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</si>
  <si>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</si>
  <si>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</si>
  <si>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</si>
  <si>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</si>
  <si>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</si>
  <si>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</si>
  <si>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</si>
  <si>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</si>
  <si>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</si>
  <si>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</si>
  <si>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</si>
  <si>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</si>
  <si>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</si>
  <si>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</si>
  <si>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</si>
  <si>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</si>
  <si>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</si>
  <si>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</si>
  <si>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</si>
  <si>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</si>
  <si>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</si>
  <si>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</si>
  <si>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</si>
  <si>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</si>
  <si>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</si>
  <si>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</si>
  <si>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</si>
  <si>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</si>
  <si>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</si>
  <si>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</si>
  <si>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</si>
  <si>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</si>
  <si>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</si>
  <si>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</si>
  <si>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</si>
  <si>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</si>
  <si>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</si>
  <si>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</si>
  <si>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</si>
  <si>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</si>
  <si>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</si>
  <si>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</si>
  <si>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</si>
  <si>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</si>
  <si>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</si>
  <si>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</si>
  <si>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</si>
  <si>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</si>
  <si>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</si>
  <si>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</si>
  <si>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</si>
  <si>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</si>
  <si>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</si>
  <si>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</si>
  <si>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</si>
  <si>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</si>
  <si>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</si>
  <si>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</si>
  <si>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</si>
  <si>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</si>
  <si>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</si>
  <si>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</si>
  <si>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</si>
  <si>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</si>
  <si>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</si>
  <si>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</si>
  <si>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</si>
  <si>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</si>
  <si>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</si>
  <si>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</si>
  <si>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</si>
  <si>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</si>
  <si>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</si>
  <si>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</si>
  <si>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</si>
  <si>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</si>
  <si>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</si>
  <si>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</si>
  <si>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</si>
  <si>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</si>
  <si>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</si>
  <si>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</si>
  <si>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</si>
  <si>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</si>
  <si>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</si>
  <si>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</si>
  <si>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</si>
  <si>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</si>
  <si>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</si>
  <si>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</si>
  <si>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</si>
  <si>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</si>
  <si>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</si>
  <si>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</si>
  <si>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</si>
  <si>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</si>
  <si>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</si>
  <si>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</si>
  <si>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</si>
  <si>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</si>
  <si>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</si>
  <si>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</si>
  <si>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</si>
  <si>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</si>
  <si>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</si>
  <si>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</si>
  <si>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</si>
  <si>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</si>
  <si>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</si>
  <si>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</si>
  <si>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</si>
  <si>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</si>
  <si>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</si>
  <si>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</si>
  <si>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</si>
  <si>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</si>
  <si>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</si>
  <si>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</si>
  <si>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</si>
  <si>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</si>
  <si>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</si>
  <si>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</si>
  <si>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</si>
  <si>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</si>
  <si>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</si>
  <si>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</si>
  <si>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</si>
  <si>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</si>
  <si>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</si>
  <si>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</si>
  <si>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</si>
  <si>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</si>
  <si>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</si>
  <si>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</si>
  <si>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</si>
  <si>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</si>
  <si>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</si>
  <si>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</si>
  <si>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</si>
  <si>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</si>
  <si>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</si>
  <si>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</si>
  <si>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</si>
  <si>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</si>
  <si>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</si>
  <si>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</si>
  <si>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</si>
  <si>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</si>
  <si>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</si>
  <si>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</si>
  <si>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</si>
  <si>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</si>
  <si>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</si>
  <si>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</si>
  <si>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</si>
  <si>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</si>
  <si>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</si>
  <si>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</si>
  <si>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</si>
  <si>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</si>
  <si>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</si>
  <si>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</si>
  <si>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</si>
  <si>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</si>
  <si>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</si>
  <si>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</si>
  <si>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</si>
  <si>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</si>
  <si>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</si>
  <si>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</si>
  <si>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</si>
  <si>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</si>
  <si>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</si>
  <si>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</si>
  <si>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</si>
  <si>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</si>
  <si>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</si>
  <si>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</si>
  <si>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</si>
  <si>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</si>
  <si>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</si>
  <si>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</si>
  <si>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</si>
  <si>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</si>
  <si>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</si>
  <si>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</si>
  <si>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</si>
  <si>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</si>
  <si>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</si>
  <si>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</si>
  <si>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</si>
  <si>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</si>
  <si>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</si>
  <si>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</si>
  <si>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</si>
  <si>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</si>
  <si>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</si>
  <si>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</si>
  <si>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</si>
  <si>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</si>
  <si>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</si>
  <si>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</si>
  <si>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</si>
  <si>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</si>
  <si>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</si>
  <si>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</si>
  <si>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</si>
  <si>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</si>
  <si>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</si>
  <si>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</si>
  <si>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</si>
  <si>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</si>
  <si>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</si>
  <si>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</si>
  <si>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</si>
  <si>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</si>
  <si>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</si>
  <si>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</si>
  <si>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</si>
  <si>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</si>
  <si>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</si>
  <si>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</si>
  <si>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</si>
  <si>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</si>
  <si>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</si>
  <si>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</si>
  <si>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</si>
  <si>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</si>
  <si>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</si>
  <si>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</si>
  <si>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</si>
  <si>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</si>
  <si>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</si>
  <si>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</si>
  <si>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</si>
  <si>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</si>
  <si>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</si>
  <si>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</si>
  <si>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</si>
  <si>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</si>
  <si>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</si>
  <si>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</si>
  <si>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</si>
  <si>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</si>
  <si>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</si>
  <si>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</si>
  <si>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</si>
  <si>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</si>
  <si>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</si>
  <si>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</si>
  <si>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</si>
  <si>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</si>
  <si>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</si>
  <si>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</si>
  <si>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</si>
  <si>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</si>
  <si>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</si>
  <si>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</si>
  <si>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</si>
  <si>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</si>
  <si>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</si>
  <si>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</si>
  <si>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</si>
  <si>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</si>
  <si>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</si>
  <si>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</si>
  <si>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</si>
  <si>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</si>
  <si>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</si>
  <si>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</si>
  <si>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</si>
  <si>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</si>
  <si>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</si>
  <si>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</si>
  <si>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</si>
  <si>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</si>
  <si>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</si>
  <si>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</si>
  <si>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</si>
  <si>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</si>
  <si>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</si>
  <si>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</si>
  <si>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</si>
  <si>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</si>
  <si>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</si>
  <si>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</si>
  <si>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</si>
  <si>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</si>
  <si>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</si>
  <si>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</si>
  <si>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</si>
  <si>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</si>
  <si>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</si>
  <si>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</si>
  <si>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</si>
  <si>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</si>
  <si>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</si>
  <si>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</si>
  <si>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</si>
  <si>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</si>
  <si>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</si>
  <si>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</si>
  <si>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</si>
  <si>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</si>
  <si>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</si>
  <si>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</si>
  <si>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</si>
  <si>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</si>
  <si>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</si>
  <si>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</si>
  <si>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</si>
  <si>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</si>
  <si>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</si>
  <si>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</si>
  <si>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</si>
  <si>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</si>
  <si>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</si>
  <si>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</si>
  <si>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</si>
  <si>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</si>
  <si>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</si>
  <si>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</si>
  <si>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</si>
  <si>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</si>
  <si>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</si>
  <si>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</si>
  <si>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</si>
  <si>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</si>
  <si>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</si>
  <si>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</si>
  <si>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</si>
  <si>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</si>
  <si>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</si>
  <si>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</si>
  <si>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</si>
  <si>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</si>
  <si>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</si>
  <si>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</si>
  <si>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</si>
  <si>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</si>
  <si>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</si>
  <si>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</si>
  <si>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</si>
  <si>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</si>
  <si>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</si>
  <si>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</si>
  <si>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</si>
  <si>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</si>
  <si>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</si>
  <si>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</si>
  <si>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</si>
  <si>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</si>
  <si>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</si>
  <si>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</si>
  <si>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</si>
  <si>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</si>
  <si>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</si>
  <si>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</si>
  <si>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</si>
  <si>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</si>
  <si>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</si>
  <si>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</si>
  <si>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</si>
  <si>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</si>
  <si>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</si>
  <si>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</si>
  <si>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</si>
  <si>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</si>
  <si>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</si>
  <si>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</si>
  <si>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</si>
  <si>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</si>
  <si>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</si>
  <si>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</si>
  <si>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</si>
  <si>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</si>
  <si>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</si>
  <si>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</si>
  <si>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</si>
  <si>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</si>
  <si>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</si>
  <si>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</si>
  <si>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</si>
  <si>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</si>
  <si>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</si>
  <si>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</si>
  <si>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</si>
  <si>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</si>
  <si>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</si>
  <si>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</si>
  <si>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</si>
  <si>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</si>
  <si>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</si>
  <si>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</si>
  <si>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</si>
  <si>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</si>
  <si>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</si>
  <si>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</si>
  <si>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</si>
  <si>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</si>
  <si>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</si>
  <si>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</si>
  <si>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</si>
  <si>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</si>
  <si>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</si>
  <si>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</si>
  <si>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</si>
  <si>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</si>
  <si>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</si>
  <si>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</si>
  <si>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</si>
  <si>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</si>
  <si>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</si>
  <si>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</si>
  <si>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</si>
  <si>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</si>
  <si>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</si>
  <si>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</si>
  <si>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</si>
  <si>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</si>
  <si>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</si>
  <si>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</si>
  <si>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</si>
  <si>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</si>
  <si>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</si>
  <si>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</si>
  <si>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</si>
  <si>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</si>
  <si>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</si>
  <si>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</si>
  <si>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</si>
  <si>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</si>
  <si>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</si>
  <si>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</si>
  <si>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</si>
  <si>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</si>
  <si>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</si>
  <si>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</si>
  <si>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</si>
  <si>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</si>
  <si>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</si>
  <si>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</si>
  <si>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</si>
  <si>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</si>
  <si>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</si>
  <si>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</si>
  <si>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</si>
  <si>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</si>
  <si>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</si>
  <si>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</si>
  <si>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</si>
  <si>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</si>
  <si>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</si>
  <si>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</si>
  <si>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</si>
  <si>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</si>
  <si>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</si>
  <si>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</si>
  <si>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</si>
  <si>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</si>
  <si>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</si>
  <si>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</si>
  <si>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</si>
  <si>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</si>
  <si>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</si>
  <si>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</si>
  <si>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</si>
  <si>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</si>
  <si>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</si>
  <si>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</si>
  <si>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</si>
  <si>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</si>
  <si>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</si>
  <si>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</si>
  <si>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</si>
  <si>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</si>
  <si>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</si>
  <si>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</si>
  <si>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</si>
  <si>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</si>
  <si>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</si>
  <si>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</si>
  <si>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</si>
  <si>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</si>
  <si>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</si>
  <si>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</si>
  <si>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</si>
  <si>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</si>
  <si>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</si>
  <si>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</si>
  <si>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</si>
  <si>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</si>
  <si>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</si>
  <si>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</si>
  <si>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</si>
  <si>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</si>
  <si>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</si>
  <si>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</si>
  <si>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</si>
  <si>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</si>
  <si>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</si>
  <si>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</si>
  <si>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</si>
  <si>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</si>
  <si>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</si>
  <si>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</si>
  <si>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</si>
  <si>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</si>
  <si>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</si>
  <si>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</si>
  <si>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</si>
  <si>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</si>
  <si>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</si>
  <si>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</si>
  <si>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</si>
  <si>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</si>
  <si>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</si>
  <si>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</si>
  <si>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</si>
  <si>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</si>
  <si>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</si>
  <si>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</si>
  <si>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</si>
  <si>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</si>
  <si>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</si>
  <si>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</si>
  <si>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</si>
  <si>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</si>
  <si>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</si>
  <si>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</si>
  <si>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</si>
  <si>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</si>
  <si>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</si>
  <si>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</si>
  <si>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</si>
  <si>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</si>
  <si>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</si>
  <si>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</si>
  <si>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</si>
  <si>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</si>
  <si>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</si>
  <si>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</si>
  <si>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</si>
  <si>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</si>
  <si>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</si>
  <si>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</si>
  <si>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</si>
  <si>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</si>
  <si>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</si>
  <si>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</si>
  <si>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</si>
  <si>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</si>
  <si>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</si>
  <si>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</si>
  <si>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</si>
  <si>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</si>
  <si>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</si>
  <si>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</si>
  <si>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</si>
  <si>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</si>
  <si>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</si>
  <si>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</si>
  <si>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</si>
  <si>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</si>
  <si>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</si>
  <si>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</si>
  <si>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</si>
  <si>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</si>
  <si>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</si>
  <si>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</si>
  <si>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</si>
  <si>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</si>
  <si>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</si>
  <si>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</si>
  <si>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</si>
  <si>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</si>
  <si>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</si>
  <si>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</si>
  <si>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</si>
  <si>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</si>
  <si>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</si>
  <si>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</si>
  <si>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</si>
  <si>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</si>
  <si>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</si>
  <si>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</si>
  <si>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</si>
  <si>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</si>
  <si>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</si>
  <si>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</si>
  <si>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</si>
  <si>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</si>
  <si>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</si>
  <si>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</si>
  <si>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</si>
  <si>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</si>
  <si>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</si>
  <si>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</si>
  <si>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</si>
  <si>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</si>
  <si>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</si>
  <si>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</si>
  <si>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</si>
  <si>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</si>
  <si>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</si>
  <si>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</si>
  <si>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</si>
  <si>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</si>
  <si>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</si>
  <si>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</si>
  <si>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</si>
  <si>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</si>
  <si>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</si>
  <si>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</si>
  <si>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</si>
  <si>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</si>
  <si>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</si>
  <si>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</si>
  <si>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</si>
  <si>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</si>
  <si>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</si>
  <si>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</si>
  <si>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</si>
  <si>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</si>
  <si>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</si>
  <si>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</si>
  <si>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</si>
  <si>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</si>
  <si>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</si>
  <si>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</si>
  <si>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</si>
  <si>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</si>
  <si>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</si>
  <si>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</si>
  <si>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</si>
  <si>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</si>
  <si>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</si>
  <si>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</si>
  <si>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</si>
  <si>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</si>
  <si>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</si>
  <si>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</si>
  <si>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</si>
  <si>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</si>
  <si>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</si>
  <si>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</si>
  <si>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</si>
  <si>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</si>
  <si>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</si>
  <si>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</si>
  <si>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</si>
  <si>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</si>
  <si>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</si>
  <si>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</si>
  <si>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</si>
  <si>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</si>
  <si>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</si>
  <si>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</si>
  <si>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</si>
  <si>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</si>
  <si>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</si>
  <si>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</si>
  <si>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</si>
  <si>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</si>
  <si>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</si>
  <si>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</si>
  <si>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</si>
  <si>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</si>
  <si>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</si>
  <si>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</si>
  <si>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</si>
  <si>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</si>
  <si>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</si>
  <si>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</si>
  <si>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</si>
  <si>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</si>
  <si>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</si>
  <si>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</si>
  <si>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</si>
  <si>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</si>
  <si>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</si>
  <si>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</si>
  <si>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</si>
  <si>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</si>
  <si>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</si>
  <si>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</si>
  <si>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</si>
  <si>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</si>
  <si>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</si>
  <si>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</si>
  <si>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</si>
  <si>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</si>
  <si>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</si>
  <si>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</si>
  <si>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</si>
  <si>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</si>
  <si>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</si>
  <si>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</si>
  <si>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</si>
  <si>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</si>
  <si>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</si>
  <si>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</si>
  <si>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</si>
  <si>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</si>
  <si>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</si>
  <si>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</si>
  <si>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</si>
  <si>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</si>
  <si>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</si>
  <si>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</si>
  <si>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</si>
  <si>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</si>
  <si>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</si>
  <si>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</si>
  <si>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</si>
  <si>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</si>
  <si>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</si>
  <si>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</si>
  <si>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</si>
  <si>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</si>
  <si>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</si>
  <si>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</si>
  <si>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</si>
  <si>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</si>
  <si>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</si>
  <si>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</si>
  <si>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</si>
  <si>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</si>
  <si>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</si>
  <si>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</si>
  <si>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</si>
  <si>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</si>
  <si>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</si>
  <si>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</si>
  <si>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</si>
  <si>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</si>
  <si>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</si>
  <si>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</si>
  <si>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</si>
  <si>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</si>
  <si>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</si>
  <si>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</si>
  <si>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</si>
  <si>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</si>
  <si>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</si>
  <si>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</si>
  <si>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</si>
  <si>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</si>
  <si>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</si>
  <si>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</si>
  <si>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</si>
  <si>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</si>
  <si>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</si>
  <si>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</si>
  <si>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</si>
  <si>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</si>
  <si>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</si>
  <si>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</si>
  <si>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</si>
  <si>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</si>
  <si>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</si>
  <si>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</si>
  <si>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</si>
  <si>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</si>
  <si>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</si>
  <si>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</si>
  <si>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</si>
  <si>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</si>
  <si>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</si>
  <si>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</si>
  <si>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</si>
  <si>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</si>
  <si>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</si>
  <si>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</si>
  <si>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</si>
  <si>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</si>
  <si>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</si>
  <si>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</si>
  <si>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</si>
  <si>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</si>
  <si>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</si>
  <si>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</si>
  <si>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</si>
  <si>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</si>
  <si>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</si>
  <si>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</si>
  <si>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</si>
  <si>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</si>
  <si>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</si>
  <si>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</si>
  <si>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</si>
  <si>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</si>
  <si>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</si>
  <si>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</si>
  <si>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</si>
  <si>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</si>
  <si>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</si>
  <si>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</si>
  <si>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</si>
  <si>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</si>
  <si>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</si>
  <si>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</si>
  <si>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</si>
  <si>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</si>
  <si>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</si>
  <si>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</si>
  <si>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</si>
  <si>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</si>
  <si>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</si>
  <si>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</si>
  <si>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</si>
  <si>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</si>
  <si>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</si>
  <si>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</si>
  <si>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</si>
  <si>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</si>
  <si>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</si>
  <si>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</si>
  <si>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</si>
  <si>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</si>
  <si>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</si>
  <si>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</si>
  <si>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</si>
  <si>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</si>
  <si>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</si>
  <si>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</si>
  <si>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</si>
  <si>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</si>
  <si>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</si>
  <si>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</si>
  <si>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</si>
  <si>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</si>
  <si>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</si>
  <si>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</si>
  <si>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</si>
  <si>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</si>
  <si>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</si>
  <si>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</si>
  <si>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</si>
  <si>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</si>
  <si>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</si>
  <si>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</si>
  <si>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</si>
  <si>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</si>
  <si>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</si>
  <si>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</si>
  <si>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</si>
  <si>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</si>
  <si>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</si>
  <si>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</si>
  <si>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</si>
  <si>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</si>
  <si>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</si>
  <si>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</si>
  <si>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</si>
  <si>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</si>
  <si>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</si>
  <si>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</si>
  <si>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</si>
  <si>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</si>
  <si>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</si>
  <si>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</si>
  <si>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</si>
  <si>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</si>
  <si>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</si>
  <si>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</si>
  <si>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</si>
  <si>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</si>
  <si>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</si>
  <si>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</si>
  <si>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</si>
  <si>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</si>
  <si>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</si>
  <si>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</si>
  <si>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</si>
  <si>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</si>
  <si>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</si>
  <si>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</si>
  <si>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</si>
  <si>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</si>
  <si>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</si>
  <si>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</si>
  <si>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</si>
  <si>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</si>
  <si>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</si>
  <si>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</si>
  <si>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</si>
  <si>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</si>
  <si>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</si>
  <si>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</si>
  <si>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</si>
  <si>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</si>
  <si>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</si>
  <si>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</si>
  <si>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</si>
  <si>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</si>
  <si>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</si>
  <si>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</si>
  <si>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</si>
  <si>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</si>
  <si>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</si>
  <si>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</si>
  <si>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</si>
  <si>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</si>
  <si>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</si>
  <si>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</si>
  <si>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</si>
  <si>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</si>
  <si>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</si>
  <si>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</si>
  <si>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</si>
  <si>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</si>
  <si>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</si>
  <si>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</si>
  <si>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</si>
  <si>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</si>
  <si>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</si>
  <si>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</si>
  <si>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</si>
  <si>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</si>
  <si>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</si>
  <si>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</si>
  <si>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</si>
  <si>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</si>
  <si>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</si>
  <si>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</si>
  <si>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</si>
  <si>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</si>
  <si>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</si>
  <si>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</si>
  <si>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</si>
  <si>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</si>
  <si>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</si>
  <si>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</si>
  <si>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</si>
  <si>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</si>
  <si>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</si>
  <si>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</si>
  <si>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</si>
  <si>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</si>
  <si>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</si>
  <si>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</si>
  <si>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</si>
  <si>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</si>
  <si>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</si>
  <si>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</si>
  <si>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</si>
  <si>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</si>
  <si>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</si>
  <si>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</si>
  <si>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</si>
  <si>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</si>
  <si>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</si>
  <si>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</si>
  <si>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</si>
  <si>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</si>
  <si>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</si>
  <si>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</si>
  <si>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</si>
  <si>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</si>
  <si>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</si>
  <si>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</si>
  <si>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</si>
  <si>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</si>
  <si>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</si>
  <si>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</si>
  <si>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</si>
  <si>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</si>
  <si>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</si>
  <si>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</si>
  <si>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</si>
  <si>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</si>
  <si>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</si>
  <si>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</si>
  <si>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</si>
  <si>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</si>
  <si>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</si>
  <si>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</si>
  <si>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</si>
  <si>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</si>
  <si>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</si>
  <si>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</si>
  <si>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</si>
  <si>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</si>
  <si>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</si>
  <si>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</si>
  <si>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</si>
  <si>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</si>
  <si>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</si>
  <si>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</si>
  <si>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</si>
  <si>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</si>
  <si>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</si>
  <si>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</si>
  <si>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</si>
  <si>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</si>
  <si>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</si>
  <si>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</si>
  <si>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</si>
  <si>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</si>
  <si>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</si>
  <si>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</si>
  <si>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</si>
  <si>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</si>
  <si>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</si>
  <si>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</si>
  <si>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</si>
  <si>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</si>
  <si>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</si>
  <si>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</si>
  <si>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</si>
  <si>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</si>
  <si>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</si>
  <si>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</si>
  <si>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</si>
  <si>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</si>
  <si>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</si>
  <si>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</si>
  <si>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</si>
  <si>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</si>
  <si>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</si>
  <si>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</si>
  <si>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</si>
  <si>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</si>
  <si>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</si>
  <si>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</si>
  <si>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</si>
  <si>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</si>
  <si>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</si>
  <si>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</si>
  <si>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</si>
  <si>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</si>
  <si>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</si>
  <si>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</si>
  <si>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</si>
  <si>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</si>
  <si>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</si>
  <si>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</si>
  <si>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</si>
  <si>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</si>
  <si>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</si>
  <si>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</si>
  <si>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</si>
  <si>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</si>
  <si>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</si>
  <si>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</si>
  <si>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</si>
  <si>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</si>
  <si>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</si>
  <si>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</si>
  <si>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</si>
  <si>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</si>
  <si>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</si>
  <si>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</si>
  <si>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</si>
  <si>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</si>
  <si>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</si>
  <si>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</si>
  <si>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</si>
  <si>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</si>
  <si>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</si>
  <si>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</si>
  <si>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</si>
  <si>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</si>
  <si>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</si>
  <si>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</si>
  <si>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</si>
  <si>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</si>
  <si>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</si>
  <si>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</si>
  <si>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</si>
  <si>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</si>
  <si>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</si>
  <si>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</si>
  <si>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</si>
  <si>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</si>
  <si>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</si>
  <si>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</si>
  <si>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</si>
  <si>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</si>
  <si>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</si>
  <si>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</si>
  <si>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</si>
  <si>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</si>
  <si>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</si>
  <si>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</si>
  <si>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</si>
  <si>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</si>
  <si>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</si>
  <si>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</si>
  <si>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</si>
  <si>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</si>
  <si>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</si>
  <si>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</si>
  <si>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</si>
  <si>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</si>
  <si>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</si>
  <si>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</si>
  <si>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</si>
  <si>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</si>
  <si>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</si>
  <si>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</si>
  <si>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</si>
  <si>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</si>
  <si>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</si>
  <si>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</si>
  <si>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</si>
  <si>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</si>
  <si>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</si>
  <si>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</si>
  <si>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</si>
  <si>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</si>
  <si>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</si>
  <si>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</si>
  <si>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</si>
  <si>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</si>
  <si>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</si>
  <si>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</si>
  <si>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</si>
  <si>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</si>
  <si>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</si>
  <si>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</si>
  <si>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</si>
  <si>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</si>
  <si>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</si>
  <si>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</si>
  <si>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</si>
  <si>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</si>
  <si>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</si>
  <si>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</si>
  <si>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</si>
  <si>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</si>
  <si>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</si>
  <si>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</si>
  <si>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</si>
  <si>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</si>
  <si>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</si>
  <si>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</si>
  <si>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</si>
  <si>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</si>
  <si>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</si>
  <si>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</si>
  <si>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</si>
  <si>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</si>
  <si>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</si>
  <si>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</si>
  <si>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</si>
  <si>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</si>
  <si>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</si>
  <si>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</si>
  <si>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</si>
  <si>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</si>
  <si>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</si>
  <si>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</si>
  <si>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</si>
  <si>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</si>
  <si>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</si>
  <si>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</si>
  <si>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</si>
  <si>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</si>
  <si>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</si>
  <si>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</si>
  <si>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</si>
  <si>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</si>
  <si>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</si>
  <si>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</si>
  <si>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</si>
  <si>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</si>
  <si>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</si>
  <si>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</si>
  <si>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</si>
  <si>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</si>
  <si>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</si>
  <si>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</si>
  <si>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</si>
  <si>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</si>
  <si>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</si>
  <si>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</si>
  <si>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</si>
  <si>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</si>
  <si>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</si>
  <si>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</si>
  <si>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</si>
  <si>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</si>
  <si>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</si>
  <si>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</si>
  <si>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</si>
  <si>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</si>
  <si>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</si>
  <si>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</si>
  <si>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</si>
  <si>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</si>
  <si>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</si>
  <si>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</si>
  <si>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</si>
  <si>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</si>
  <si>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</si>
  <si>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</si>
  <si>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</si>
  <si>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</si>
  <si>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</si>
  <si>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</si>
  <si>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</si>
  <si>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</si>
  <si>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</si>
  <si>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</si>
  <si>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</si>
  <si>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</si>
  <si>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</si>
  <si>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</si>
  <si>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</si>
  <si>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</si>
  <si>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</si>
  <si>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</si>
  <si>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</si>
  <si>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</si>
  <si>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</si>
  <si>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</si>
  <si>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</si>
  <si>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</si>
  <si>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</si>
  <si>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</si>
  <si>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</si>
  <si>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</si>
  <si>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</si>
  <si>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</si>
  <si>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</si>
  <si>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</si>
  <si>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</si>
  <si>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</si>
  <si>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</si>
  <si>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</si>
  <si>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</si>
  <si>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</si>
  <si>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</si>
  <si>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</si>
  <si>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</si>
  <si>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</si>
  <si>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</si>
  <si>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</si>
  <si>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</si>
  <si>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</si>
  <si>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</si>
  <si>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</si>
  <si>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</si>
  <si>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</si>
  <si>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</si>
  <si>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</si>
  <si>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</si>
  <si>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</si>
  <si>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</si>
  <si>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</si>
  <si>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</si>
  <si>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</si>
  <si>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</si>
  <si>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</si>
  <si>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</si>
  <si>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</si>
  <si>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</si>
  <si>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</si>
  <si>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</si>
  <si>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</si>
  <si>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</si>
  <si>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</si>
  <si>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</si>
  <si>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</si>
  <si>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</si>
  <si>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</si>
  <si>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</si>
  <si>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</si>
  <si>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</si>
  <si>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</si>
  <si>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</si>
  <si>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</si>
  <si>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</si>
  <si>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</si>
  <si>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</si>
  <si>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</si>
  <si>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</si>
  <si>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</si>
  <si>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</si>
  <si>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</si>
  <si>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</si>
  <si>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</si>
  <si>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</si>
  <si>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</si>
  <si>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</si>
  <si>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</si>
  <si>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</si>
  <si>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</si>
  <si>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</si>
  <si>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</si>
  <si>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</si>
  <si>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</si>
  <si>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</si>
  <si>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</si>
  <si>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</si>
  <si>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</si>
  <si>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</si>
  <si>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</si>
  <si>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</si>
  <si>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</si>
  <si>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</si>
  <si>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</si>
  <si>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</si>
  <si>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</si>
  <si>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</si>
  <si>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</si>
  <si>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</si>
  <si>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</si>
  <si>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</si>
  <si>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</si>
  <si>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</si>
  <si>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</si>
  <si>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</si>
  <si>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</si>
  <si>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</si>
  <si>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</si>
  <si>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</si>
  <si>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</si>
  <si>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</si>
  <si>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</si>
  <si>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</si>
  <si>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</si>
  <si>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</si>
  <si>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</si>
  <si>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</si>
  <si>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</si>
  <si>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</si>
  <si>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</si>
  <si>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</si>
  <si>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</si>
  <si>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</si>
  <si>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</si>
  <si>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</si>
  <si>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</si>
  <si>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</si>
  <si>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</si>
  <si>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</si>
  <si>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</si>
  <si>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</si>
  <si>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</si>
  <si>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</si>
  <si>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</si>
  <si>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</si>
  <si>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</si>
  <si>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</si>
  <si>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</si>
  <si>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</si>
  <si>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</si>
  <si>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</si>
  <si>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</si>
  <si>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</si>
  <si>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</si>
  <si>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</si>
  <si>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</si>
  <si>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</si>
  <si>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</si>
  <si>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</si>
  <si>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</si>
  <si>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</si>
  <si>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</si>
  <si>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</si>
  <si>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</si>
  <si>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</si>
  <si>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</si>
  <si>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</si>
  <si>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</si>
  <si>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</si>
  <si>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</si>
  <si>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</si>
  <si>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</si>
  <si>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</si>
  <si>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</si>
  <si>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</si>
  <si>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</si>
  <si>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</si>
  <si>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</si>
  <si>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</si>
  <si>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</si>
  <si>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</si>
  <si>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</si>
  <si>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</si>
  <si>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</si>
  <si>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</si>
  <si>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</si>
  <si>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</si>
  <si>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</si>
  <si>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</si>
  <si>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</si>
  <si>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</si>
  <si>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</si>
  <si>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</si>
  <si>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</si>
  <si>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</si>
  <si>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</si>
  <si>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</si>
  <si>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</si>
  <si>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</si>
  <si>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</si>
  <si>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</si>
  <si>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</si>
  <si>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</si>
  <si>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</si>
  <si>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</si>
  <si>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</si>
  <si>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</si>
  <si>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</si>
  <si>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</si>
  <si>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</si>
  <si>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</si>
  <si>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</si>
  <si>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</si>
  <si>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</si>
  <si>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</si>
  <si>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</si>
  <si>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</si>
  <si>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</si>
  <si>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</si>
  <si>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</si>
  <si>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</si>
  <si>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</si>
  <si>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</si>
  <si>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</si>
  <si>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</si>
  <si>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</si>
  <si>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</si>
  <si>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</si>
  <si>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</si>
  <si>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</si>
  <si>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</si>
  <si>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</si>
  <si>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</si>
  <si>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</si>
  <si>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</si>
  <si>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</si>
  <si>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</si>
  <si>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</si>
  <si>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</si>
  <si>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</si>
  <si>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</si>
  <si>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</si>
  <si>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</si>
  <si>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</si>
  <si>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</si>
  <si>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</si>
  <si>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</si>
  <si>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</si>
  <si>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</si>
  <si>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</si>
  <si>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</si>
  <si>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</si>
  <si>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</si>
  <si>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</si>
  <si>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</si>
  <si>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</si>
  <si>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</si>
  <si>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</si>
  <si>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</si>
  <si>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</si>
  <si>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</si>
  <si>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</si>
  <si>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</si>
  <si>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</si>
  <si>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</si>
  <si>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</si>
  <si>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</si>
  <si>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</si>
  <si>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</si>
  <si>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</si>
  <si>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</si>
  <si>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</si>
  <si>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</si>
  <si>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</si>
  <si>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</si>
  <si>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</si>
  <si>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</si>
  <si>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</si>
  <si>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</si>
  <si>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</si>
  <si>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</si>
  <si>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</si>
  <si>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</si>
  <si>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</si>
  <si>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</si>
  <si>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</si>
  <si>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</si>
  <si>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</si>
  <si>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</si>
  <si>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</si>
  <si>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</si>
  <si>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</si>
  <si>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</si>
  <si>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</si>
  <si>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</si>
  <si>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</si>
  <si>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</si>
  <si>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</si>
  <si>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</si>
  <si>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</si>
  <si>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</si>
  <si>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</si>
  <si>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</si>
  <si>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</si>
  <si>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</si>
  <si>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</si>
  <si>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</si>
  <si>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</si>
  <si>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</si>
  <si>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</si>
  <si>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</si>
  <si>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</si>
  <si>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</si>
  <si>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</si>
  <si>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</si>
  <si>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</si>
  <si>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</si>
  <si>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</si>
  <si>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</si>
  <si>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</si>
  <si>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</si>
  <si>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</si>
  <si>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</si>
  <si>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</si>
  <si>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</si>
  <si>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</si>
  <si>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</si>
  <si>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</si>
  <si>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</si>
  <si>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</si>
  <si>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</si>
  <si>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</si>
  <si>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</si>
  <si>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</si>
  <si>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</si>
  <si>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</si>
  <si>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</si>
  <si>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</si>
  <si>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</si>
  <si>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</si>
  <si>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</si>
  <si>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</si>
  <si>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</si>
  <si>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</si>
  <si>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</si>
  <si>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</si>
  <si>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</si>
  <si>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</si>
  <si>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</si>
  <si>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</si>
  <si>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</si>
  <si>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</si>
  <si>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</si>
  <si>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</si>
  <si>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</si>
  <si>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</si>
  <si>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</si>
  <si>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</si>
  <si>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</si>
  <si>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</si>
  <si>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</si>
  <si>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</si>
  <si>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</si>
  <si>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</si>
  <si>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</si>
  <si>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</si>
  <si>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</si>
  <si>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</si>
  <si>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</si>
  <si>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</si>
  <si>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</si>
  <si>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</si>
  <si>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</si>
  <si>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</si>
  <si>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</si>
  <si>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</si>
  <si>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</si>
  <si>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</si>
  <si>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</si>
  <si>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</si>
  <si>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</si>
  <si>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</si>
  <si>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</si>
  <si>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</si>
  <si>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</si>
  <si>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</si>
  <si>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</si>
  <si>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</si>
  <si>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</si>
  <si>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</si>
  <si>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</si>
  <si>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</si>
  <si>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</si>
  <si>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</si>
  <si>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</si>
  <si>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</si>
  <si>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</si>
  <si>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</si>
  <si>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</si>
  <si>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</si>
  <si>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</si>
  <si>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</si>
  <si>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</si>
  <si>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</si>
  <si>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</si>
  <si>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</si>
  <si>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</si>
  <si>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</si>
  <si>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</si>
  <si>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</si>
  <si>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</si>
  <si>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</si>
  <si>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</si>
  <si>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</si>
  <si>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</si>
  <si>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</si>
  <si>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</si>
  <si>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</si>
  <si>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</si>
  <si>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</si>
  <si>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</si>
  <si>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</si>
  <si>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</si>
  <si>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</si>
  <si>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</si>
  <si>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</si>
  <si>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</si>
  <si>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</si>
  <si>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</si>
  <si>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</si>
  <si>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</si>
  <si>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</si>
  <si>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</si>
  <si>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</si>
  <si>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</si>
  <si>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</si>
  <si>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</si>
  <si>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</si>
  <si>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</si>
  <si>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</si>
  <si>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</si>
  <si>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</si>
  <si>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</si>
  <si>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</si>
  <si>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</si>
  <si>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</si>
  <si>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</si>
  <si>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</si>
  <si>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</si>
  <si>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</si>
  <si>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</si>
  <si>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</si>
  <si>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</si>
  <si>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</si>
  <si>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</si>
  <si>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</si>
  <si>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</si>
  <si>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</si>
  <si>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</si>
  <si>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</si>
  <si>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</si>
  <si>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</si>
  <si>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</si>
  <si>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</si>
  <si>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</si>
  <si>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</si>
  <si>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</si>
  <si>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</si>
  <si>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</si>
  <si>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</si>
  <si>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</si>
  <si>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</si>
  <si>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</si>
  <si>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</si>
  <si>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</si>
  <si>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</si>
  <si>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</si>
  <si>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</si>
  <si>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</si>
  <si>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</si>
  <si>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</si>
  <si>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</si>
  <si>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</si>
  <si>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</si>
  <si>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</si>
  <si>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</si>
  <si>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</si>
  <si>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</si>
  <si>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</si>
  <si>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</si>
  <si>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</si>
  <si>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</si>
  <si>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</si>
  <si>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</si>
  <si>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</si>
  <si>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</si>
  <si>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</si>
  <si>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</si>
  <si>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</si>
  <si>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</si>
  <si>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</si>
  <si>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</si>
  <si>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</si>
  <si>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</si>
  <si>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</si>
  <si>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</si>
  <si>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</si>
  <si>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</si>
  <si>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</si>
  <si>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</si>
  <si>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</si>
  <si>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</si>
  <si>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</si>
  <si>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</si>
  <si>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</si>
  <si>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</si>
  <si>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</si>
  <si>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</si>
  <si>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</si>
  <si>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</si>
  <si>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</si>
  <si>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</si>
  <si>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</si>
  <si>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</si>
  <si>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</si>
  <si>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</si>
  <si>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</si>
  <si>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</si>
  <si>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</si>
  <si>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</si>
  <si>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</si>
  <si>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</si>
  <si>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</si>
  <si>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</si>
  <si>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</si>
  <si>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</si>
  <si>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</si>
  <si>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</si>
  <si>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</si>
  <si>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</si>
  <si>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</si>
  <si>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</si>
  <si>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</si>
  <si>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</si>
  <si>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</si>
  <si>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</si>
  <si>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</si>
  <si>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</si>
  <si>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</si>
  <si>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</si>
  <si>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</si>
  <si>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</si>
  <si>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</si>
  <si>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</si>
  <si>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</si>
  <si>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</si>
  <si>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</si>
  <si>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</si>
  <si>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</si>
  <si>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</si>
  <si>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</si>
  <si>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</si>
  <si>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</si>
  <si>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</si>
  <si>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</si>
  <si>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</si>
  <si>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</si>
  <si>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</si>
  <si>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</si>
  <si>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</si>
  <si>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</si>
  <si>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</si>
  <si>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</si>
  <si>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</si>
  <si>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</si>
  <si>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</si>
  <si>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</si>
  <si>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</si>
  <si>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</si>
  <si>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</si>
  <si>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</si>
  <si>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</si>
  <si>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</si>
  <si>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</si>
  <si>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</si>
  <si>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</si>
  <si>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</si>
  <si>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</si>
  <si>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</si>
  <si>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</si>
  <si>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</si>
  <si>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</si>
  <si>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</si>
  <si>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</si>
  <si>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</si>
  <si>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</si>
  <si>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</si>
  <si>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</si>
  <si>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</si>
  <si>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</si>
  <si>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</si>
  <si>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</si>
  <si>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</si>
  <si>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</si>
  <si>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</si>
  <si>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</si>
  <si>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</si>
  <si>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</si>
  <si>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</si>
  <si>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</si>
  <si>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</si>
  <si>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</si>
  <si>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</si>
  <si>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</si>
  <si>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</si>
  <si>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</si>
  <si>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</si>
  <si>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</si>
  <si>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</si>
  <si>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</si>
  <si>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</si>
  <si>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</si>
  <si>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</si>
  <si>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</si>
  <si>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</si>
  <si>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</si>
  <si>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</si>
  <si>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</si>
  <si>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</si>
  <si>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</si>
  <si>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</si>
  <si>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</si>
  <si>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</si>
  <si>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</si>
  <si>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</si>
  <si>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</si>
  <si>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</si>
  <si>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</si>
  <si>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</si>
  <si>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</si>
  <si>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</si>
  <si>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</si>
  <si>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</si>
  <si>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</si>
  <si>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</si>
  <si>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</si>
  <si>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</si>
  <si>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</si>
  <si>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</si>
  <si>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</si>
  <si>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</si>
  <si>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</si>
  <si>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</si>
  <si>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</si>
  <si>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</si>
  <si>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</si>
  <si>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</si>
  <si>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</si>
  <si>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</si>
  <si>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</si>
  <si>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</si>
  <si>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</si>
  <si>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</si>
  <si>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</si>
  <si>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</si>
  <si>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</si>
  <si>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</si>
  <si>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</si>
  <si>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</si>
  <si>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</si>
  <si>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</si>
  <si>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</si>
  <si>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</si>
  <si>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</si>
  <si>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</si>
  <si>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</si>
  <si>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</si>
  <si>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</si>
  <si>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</si>
  <si>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</si>
  <si>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</si>
  <si>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</si>
  <si>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</si>
  <si>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</si>
  <si>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</si>
  <si>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</si>
  <si>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</si>
  <si>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</si>
  <si>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</si>
  <si>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</si>
  <si>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</si>
  <si>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</si>
  <si>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</si>
  <si>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</si>
  <si>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</si>
  <si>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</si>
  <si>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</si>
  <si>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</si>
  <si>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</si>
  <si>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</si>
  <si>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</si>
  <si>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</si>
  <si>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</si>
  <si>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</si>
  <si>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</si>
  <si>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</si>
  <si>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</si>
  <si>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</si>
  <si>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</si>
  <si>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</si>
  <si>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</si>
  <si>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</si>
  <si>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</si>
  <si>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</si>
  <si>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</si>
  <si>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</si>
  <si>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</si>
  <si>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</si>
  <si>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</si>
  <si>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</si>
  <si>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</si>
  <si>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</si>
  <si>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</si>
  <si>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</si>
  <si>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</si>
  <si>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</si>
  <si>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</si>
  <si>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</si>
  <si>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</si>
  <si>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</si>
  <si>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</si>
  <si>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</si>
  <si>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</si>
  <si>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</si>
  <si>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</si>
  <si>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</si>
  <si>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</si>
  <si>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</si>
  <si>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</si>
  <si>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</si>
  <si>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</si>
  <si>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</si>
  <si>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</si>
  <si>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</si>
  <si>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</si>
  <si>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</si>
  <si>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</si>
  <si>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</si>
  <si>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</si>
  <si>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</si>
  <si>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</si>
  <si>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</si>
  <si>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</si>
  <si>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</si>
  <si>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</si>
  <si>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</si>
  <si>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</si>
  <si>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</si>
  <si>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</si>
  <si>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</si>
  <si>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</si>
  <si>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</si>
  <si>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</si>
  <si>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</si>
  <si>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</si>
  <si>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</si>
  <si>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</si>
  <si>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</si>
  <si>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</si>
  <si>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</si>
  <si>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</si>
  <si>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</si>
  <si>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</si>
  <si>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</si>
  <si>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</si>
  <si>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</si>
  <si>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</si>
  <si>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</si>
  <si>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</si>
  <si>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</si>
  <si>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</si>
  <si>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</si>
  <si>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</si>
  <si>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</si>
  <si>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</si>
  <si>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</si>
  <si>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</si>
  <si>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</si>
  <si>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</si>
  <si>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</si>
  <si>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</si>
  <si>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</si>
  <si>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</si>
  <si>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</si>
  <si>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</si>
  <si>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</si>
  <si>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</si>
  <si>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</si>
  <si>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</si>
  <si>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</si>
  <si>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</si>
  <si>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</si>
  <si>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</si>
  <si>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</si>
  <si>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</si>
  <si>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</si>
  <si>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</si>
  <si>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</si>
  <si>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</si>
  <si>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</si>
  <si>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</si>
  <si>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</si>
  <si>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</si>
  <si>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</si>
  <si>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</si>
  <si>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</si>
  <si>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</si>
  <si>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</si>
  <si>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</si>
  <si>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</si>
  <si>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</si>
  <si>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</si>
  <si>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</si>
  <si>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</si>
  <si>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</si>
  <si>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</si>
  <si>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</si>
  <si>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</si>
  <si>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</si>
  <si>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</si>
  <si>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</si>
  <si>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</si>
  <si>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</si>
  <si>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</si>
  <si>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</si>
  <si>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</si>
  <si>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</si>
  <si>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</si>
  <si>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</si>
  <si>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</si>
  <si>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</si>
  <si>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</si>
  <si>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</si>
  <si>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</si>
  <si>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</si>
  <si>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</si>
  <si>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</si>
  <si>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</si>
  <si>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</si>
  <si>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</si>
  <si>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</si>
  <si>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</si>
  <si>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</si>
  <si>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</si>
  <si>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</si>
  <si>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</si>
  <si>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</si>
  <si>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</si>
  <si>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</si>
  <si>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</si>
  <si>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</si>
  <si>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</si>
  <si>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</si>
  <si>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</si>
  <si>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</si>
  <si>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</si>
  <si>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</si>
  <si>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</si>
  <si>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</si>
  <si>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</si>
  <si>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</si>
  <si>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</si>
  <si>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</si>
  <si>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</si>
  <si>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</si>
  <si>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</si>
  <si>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</si>
  <si>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</si>
  <si>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</si>
  <si>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</si>
  <si>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</si>
  <si>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</si>
  <si>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</si>
  <si>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</si>
  <si>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</si>
  <si>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</si>
  <si>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</si>
  <si>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</si>
  <si>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</si>
  <si>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</si>
  <si>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</si>
  <si>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</si>
  <si>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</si>
  <si>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</si>
  <si>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</si>
  <si>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</si>
  <si>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</si>
  <si>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</si>
  <si>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</si>
  <si>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</si>
  <si>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</si>
  <si>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</si>
  <si>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</si>
  <si>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</si>
  <si>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</si>
  <si>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</si>
  <si>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</si>
  <si>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</si>
  <si>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</si>
  <si>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</si>
  <si>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</si>
  <si>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</si>
  <si>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</si>
  <si>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</si>
  <si>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</si>
  <si>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</si>
  <si>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</si>
  <si>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</si>
  <si>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</si>
  <si>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</si>
  <si>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</si>
  <si>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</si>
  <si>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</si>
  <si>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</si>
  <si>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</si>
  <si>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</si>
  <si>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</si>
  <si>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</si>
  <si>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</si>
  <si>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</si>
  <si>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</si>
  <si>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</si>
  <si>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</si>
  <si>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</si>
  <si>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</si>
  <si>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</si>
  <si>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</si>
  <si>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</si>
  <si>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</si>
  <si>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</si>
  <si>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</si>
  <si>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</si>
  <si>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</si>
  <si>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</si>
  <si>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</si>
  <si>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</si>
  <si>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</si>
  <si>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</si>
  <si>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</si>
  <si>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</si>
  <si>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</si>
  <si>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</si>
  <si>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</si>
  <si>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</si>
  <si>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</si>
  <si>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</si>
  <si>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</si>
  <si>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</si>
  <si>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</si>
  <si>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</si>
  <si>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</si>
  <si>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</si>
  <si>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</si>
  <si>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</si>
  <si>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</si>
  <si>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</si>
  <si>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</si>
  <si>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</si>
  <si>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</si>
  <si>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</si>
  <si>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</si>
  <si>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</si>
  <si>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</si>
  <si>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</si>
  <si>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</si>
  <si>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</si>
  <si>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</si>
  <si>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</si>
  <si>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</si>
  <si>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</si>
  <si>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</si>
  <si>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</si>
  <si>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</si>
  <si>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</si>
  <si>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</si>
  <si>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</si>
  <si>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</si>
  <si>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</si>
  <si>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</si>
  <si>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</si>
  <si>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</si>
  <si>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</si>
  <si>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</si>
  <si>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</si>
  <si>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</si>
  <si>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</si>
  <si>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</si>
  <si>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</si>
  <si>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</si>
  <si>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</si>
  <si>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</si>
  <si>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</si>
  <si>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</si>
  <si>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</si>
  <si>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</si>
  <si>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</si>
  <si>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</si>
  <si>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</si>
  <si>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</si>
  <si>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</si>
  <si>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</si>
  <si>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</si>
  <si>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</si>
  <si>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</si>
  <si>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</si>
  <si>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</si>
  <si>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</si>
  <si>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</si>
  <si>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</si>
  <si>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</si>
  <si>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</si>
  <si>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</si>
  <si>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</si>
  <si>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</si>
  <si>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</si>
  <si>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</si>
  <si>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</si>
  <si>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</si>
  <si>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</si>
  <si>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</si>
  <si>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</si>
  <si>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</si>
  <si>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</si>
  <si>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</si>
  <si>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</si>
  <si>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</si>
  <si>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</si>
  <si>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</si>
  <si>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</si>
  <si>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</si>
  <si>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</si>
  <si>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</si>
  <si>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</si>
  <si>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</si>
  <si>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</si>
  <si>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</si>
  <si>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</si>
  <si>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</si>
  <si>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</si>
  <si>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</si>
  <si>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</si>
  <si>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</si>
  <si>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</si>
  <si>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</si>
  <si>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</si>
  <si>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</si>
  <si>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</si>
  <si>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</si>
  <si>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</si>
  <si>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</si>
  <si>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</si>
  <si>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</si>
  <si>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</si>
  <si>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</si>
  <si>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</si>
  <si>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</si>
  <si>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</si>
  <si>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</si>
  <si>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</si>
  <si>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</si>
  <si>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</si>
  <si>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</si>
  <si>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</si>
  <si>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</si>
  <si>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</si>
  <si>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</si>
  <si>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</si>
  <si>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</si>
  <si>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</si>
  <si>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</si>
  <si>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</si>
  <si>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</si>
  <si>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</si>
  <si>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</si>
  <si>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</si>
  <si>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</si>
  <si>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</si>
  <si>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</si>
  <si>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</si>
  <si>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</si>
  <si>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</si>
  <si>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</si>
  <si>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</si>
  <si>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</si>
  <si>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</si>
  <si>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</si>
  <si>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</si>
  <si>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</si>
  <si>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</si>
  <si>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</si>
  <si>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</si>
  <si>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</si>
  <si>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</si>
  <si>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</si>
  <si>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</si>
  <si>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</si>
  <si>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</si>
  <si>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</si>
  <si>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</si>
  <si>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</si>
  <si>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</si>
  <si>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</si>
  <si>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</si>
  <si>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</si>
  <si>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</si>
  <si>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</si>
  <si>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</si>
  <si>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</si>
  <si>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</si>
  <si>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</si>
  <si>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</si>
  <si>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</si>
  <si>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</si>
  <si>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</si>
  <si>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</si>
  <si>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</si>
  <si>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</si>
  <si>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</si>
  <si>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</si>
  <si>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</si>
  <si>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</si>
  <si>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</si>
  <si>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</si>
  <si>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</si>
  <si>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</si>
  <si>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</si>
  <si>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</si>
  <si>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</si>
  <si>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</si>
  <si>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</si>
  <si>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</si>
  <si>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</si>
  <si>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</si>
  <si>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</si>
  <si>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</si>
  <si>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</si>
  <si>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</si>
  <si>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</si>
  <si>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</si>
  <si>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</si>
  <si>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</si>
  <si>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</si>
  <si>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</si>
  <si>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</si>
  <si>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</si>
  <si>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</si>
  <si>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</si>
  <si>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</si>
  <si>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</si>
  <si>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</si>
  <si>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</si>
  <si>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</si>
  <si>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</si>
  <si>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</si>
  <si>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</si>
  <si>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</si>
  <si>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</si>
  <si>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</si>
  <si>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</si>
  <si>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</si>
  <si>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</si>
  <si>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</si>
  <si>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</si>
  <si>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</si>
  <si>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</si>
  <si>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</si>
  <si>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</si>
  <si>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</si>
  <si>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</si>
  <si>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</si>
  <si>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</si>
  <si>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</si>
  <si>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</si>
  <si>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</si>
  <si>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</si>
  <si>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</si>
  <si>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</si>
  <si>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</si>
  <si>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</si>
  <si>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</si>
  <si>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</si>
  <si>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</si>
  <si>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</si>
  <si>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</si>
  <si>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</si>
  <si>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</si>
  <si>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</si>
  <si>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</si>
  <si>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</si>
  <si>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</si>
  <si>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</si>
  <si>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</si>
  <si>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</si>
  <si>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</si>
  <si>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</si>
  <si>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</si>
  <si>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</si>
  <si>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</si>
  <si>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</si>
  <si>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</si>
  <si>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</si>
  <si>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</si>
  <si>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</si>
  <si>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</si>
  <si>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</si>
  <si>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</si>
  <si>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</si>
  <si>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</si>
  <si>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</si>
  <si>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</si>
  <si>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</si>
  <si>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</si>
  <si>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</si>
  <si>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</si>
  <si>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</si>
  <si>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</si>
  <si>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</si>
  <si>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</si>
  <si>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</si>
  <si>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</si>
  <si>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</si>
  <si>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</si>
  <si>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</si>
  <si>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</si>
  <si>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</si>
  <si>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</si>
  <si>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</si>
  <si>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</si>
  <si>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</si>
  <si>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</si>
  <si>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</si>
  <si>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</si>
  <si>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</si>
  <si>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</si>
  <si>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</si>
  <si>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</si>
  <si>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</si>
  <si>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</si>
  <si>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</si>
  <si>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</si>
  <si>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</si>
  <si>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</si>
  <si>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</si>
  <si>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</si>
  <si>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</si>
  <si>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</si>
  <si>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</si>
  <si>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</si>
  <si>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</si>
  <si>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</si>
  <si>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</si>
  <si>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</si>
  <si>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</si>
  <si>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</si>
  <si>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</si>
  <si>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</si>
  <si>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</si>
  <si>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</si>
  <si>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</si>
  <si>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</si>
  <si>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</si>
  <si>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</si>
  <si>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</si>
  <si>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</si>
  <si>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</si>
  <si>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</si>
  <si>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</si>
  <si>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</si>
  <si>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</si>
  <si>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</si>
  <si>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</si>
  <si>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</si>
  <si>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</si>
  <si>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</si>
  <si>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</si>
  <si>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</si>
  <si>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</si>
  <si>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</si>
  <si>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</si>
  <si>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</si>
  <si>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</si>
  <si>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</si>
  <si>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</si>
  <si>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</si>
  <si>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</si>
  <si>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</si>
  <si>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</si>
  <si>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</si>
  <si>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</si>
  <si>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</si>
  <si>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</si>
  <si>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</si>
  <si>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</si>
  <si>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</si>
  <si>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</si>
  <si>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</si>
  <si>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</si>
  <si>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</si>
  <si>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</si>
  <si>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</si>
  <si>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</si>
  <si>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</si>
  <si>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</si>
  <si>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</si>
  <si>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</si>
  <si>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</si>
  <si>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</si>
  <si>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</si>
  <si>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</si>
  <si>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</si>
  <si>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</si>
  <si>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</si>
  <si>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</si>
  <si>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</si>
  <si>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</si>
  <si>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</si>
  <si>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</si>
  <si>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</si>
  <si>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</si>
  <si>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</si>
  <si>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</si>
  <si>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</si>
  <si>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</si>
  <si>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</si>
  <si>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</si>
  <si>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</si>
  <si>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</si>
  <si>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</si>
  <si>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</si>
  <si>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</si>
  <si>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</si>
  <si>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</si>
  <si>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</si>
  <si>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</si>
  <si>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</si>
  <si>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</si>
  <si>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</si>
  <si>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</si>
  <si>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</si>
  <si>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</si>
  <si>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</si>
  <si>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</si>
  <si>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</si>
  <si>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</si>
  <si>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</si>
  <si>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</si>
  <si>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</si>
  <si>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</si>
  <si>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</si>
  <si>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</si>
  <si>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</si>
  <si>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</si>
  <si>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</si>
  <si>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</si>
  <si>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</si>
  <si>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</si>
  <si>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</si>
  <si>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</si>
  <si>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</si>
  <si>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</si>
  <si>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</si>
  <si>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</si>
  <si>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</si>
  <si>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</si>
  <si>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</si>
  <si>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</si>
  <si>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</si>
  <si>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</si>
  <si>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</si>
  <si>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</si>
  <si>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</si>
  <si>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</si>
  <si>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</si>
  <si>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</si>
  <si>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</si>
  <si>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</si>
  <si>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</si>
  <si>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</si>
  <si>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</si>
  <si>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</si>
  <si>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</si>
  <si>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</si>
  <si>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</si>
  <si>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</si>
  <si>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</si>
  <si>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</si>
  <si>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</si>
  <si>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</si>
  <si>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</si>
  <si>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</si>
  <si>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</si>
  <si>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</si>
  <si>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</si>
  <si>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</si>
  <si>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</si>
  <si>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</si>
  <si>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</si>
  <si>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</si>
  <si>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</si>
  <si>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</si>
  <si>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</si>
  <si>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</si>
  <si>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</si>
  <si>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</si>
  <si>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</si>
  <si>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</si>
  <si>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</si>
  <si>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</si>
  <si>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</si>
  <si>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</si>
  <si>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</si>
  <si>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</si>
  <si>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</si>
  <si>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</si>
  <si>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</si>
  <si>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</si>
  <si>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</si>
  <si>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</si>
  <si>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</si>
  <si>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</si>
  <si>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</si>
  <si>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</si>
  <si>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</si>
  <si>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</si>
  <si>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</si>
  <si>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</si>
  <si>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</si>
  <si>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</si>
  <si>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</si>
  <si>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</si>
  <si>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</si>
  <si>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</si>
  <si>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</si>
  <si>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</si>
  <si>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</si>
  <si>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</si>
  <si>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</si>
  <si>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</si>
  <si>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</si>
  <si>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</si>
  <si>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</si>
  <si>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</si>
  <si>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</si>
  <si>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</si>
  <si>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</si>
  <si>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</si>
  <si>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</si>
  <si>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</si>
  <si>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</si>
  <si>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</si>
  <si>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</si>
  <si>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</si>
  <si>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</si>
  <si>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</si>
  <si>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</si>
  <si>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</si>
  <si>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</si>
  <si>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</si>
  <si>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</si>
  <si>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</si>
  <si>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</si>
  <si>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</si>
  <si>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</si>
  <si>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</si>
  <si>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</si>
  <si>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</si>
  <si>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</si>
  <si>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</si>
  <si>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</si>
  <si>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</si>
  <si>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</si>
  <si>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</si>
  <si>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</si>
  <si>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</si>
  <si>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</si>
  <si>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</si>
  <si>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</si>
  <si>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</si>
  <si>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</si>
  <si>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</si>
  <si>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</si>
  <si>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</si>
  <si>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</si>
  <si>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</si>
  <si>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</si>
  <si>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</si>
  <si>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</si>
  <si>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</si>
  <si>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</si>
  <si>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</si>
  <si>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</si>
  <si>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</si>
  <si>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</si>
  <si>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</si>
  <si>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</si>
  <si>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</si>
  <si>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</si>
  <si>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</si>
  <si>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</si>
  <si>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</si>
  <si>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</si>
  <si>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</si>
  <si>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</si>
  <si>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</si>
  <si>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</si>
  <si>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</si>
  <si>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</si>
  <si>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</si>
  <si>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</si>
  <si>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</si>
  <si>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</si>
  <si>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</si>
  <si>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</si>
  <si>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</si>
  <si>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</si>
  <si>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</si>
  <si>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</si>
  <si>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</si>
  <si>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</si>
  <si>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</si>
  <si>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</si>
  <si>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</si>
  <si>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</si>
  <si>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</si>
  <si>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</si>
  <si>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</si>
  <si>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</si>
  <si>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</si>
  <si>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</si>
  <si>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</si>
  <si>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</si>
  <si>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</si>
  <si>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</si>
  <si>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</si>
  <si>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</si>
  <si>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</si>
  <si>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</si>
  <si>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</si>
  <si>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</si>
  <si>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</si>
  <si>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</si>
  <si>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</si>
  <si>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</si>
  <si>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</si>
  <si>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</si>
  <si>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</si>
  <si>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</si>
  <si>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</si>
  <si>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</si>
  <si>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</si>
  <si>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</si>
  <si>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</si>
  <si>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</si>
  <si>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</si>
  <si>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</si>
  <si>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</si>
  <si>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</si>
  <si>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</si>
  <si>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</si>
  <si>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</si>
  <si>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</si>
  <si>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</si>
  <si>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</si>
  <si>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</si>
  <si>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</si>
  <si>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</si>
  <si>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</si>
  <si>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</si>
  <si>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</si>
  <si>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</si>
  <si>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</si>
  <si>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</si>
  <si>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</si>
  <si>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</si>
  <si>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</si>
  <si>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</si>
  <si>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</si>
  <si>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</si>
  <si>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</si>
  <si>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</si>
  <si>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</si>
  <si>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</si>
  <si>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</si>
  <si>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</si>
  <si>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</si>
  <si>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</si>
  <si>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</si>
  <si>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</si>
  <si>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</si>
  <si>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</si>
  <si>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</si>
  <si>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</si>
  <si>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</si>
  <si>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</si>
  <si>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</si>
  <si>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</si>
  <si>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</si>
  <si>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</si>
  <si>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</si>
  <si>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</si>
  <si>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</si>
  <si>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</si>
  <si>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</si>
  <si>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</si>
  <si>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</si>
  <si>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</si>
  <si>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</si>
  <si>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</si>
  <si>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</si>
  <si>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</si>
  <si>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</si>
  <si>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</si>
  <si>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</si>
  <si>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</si>
  <si>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</si>
  <si>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</si>
  <si>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</si>
  <si>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</si>
  <si>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</si>
  <si>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</si>
  <si>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</si>
  <si>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</si>
  <si>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</si>
  <si>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</si>
  <si>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</si>
  <si>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</si>
  <si>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</si>
  <si>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</si>
  <si>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</si>
  <si>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</si>
  <si>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</si>
  <si>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</si>
  <si>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</si>
  <si>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</si>
  <si>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</si>
  <si>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</si>
  <si>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</si>
  <si>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</si>
  <si>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</si>
  <si>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</si>
  <si>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</si>
  <si>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</si>
  <si>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</si>
  <si>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</si>
  <si>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</si>
  <si>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</si>
  <si>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</si>
  <si>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</si>
  <si>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</si>
  <si>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</si>
  <si>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</si>
  <si>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</si>
  <si>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</si>
  <si>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</si>
  <si>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</si>
  <si>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</si>
  <si>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</si>
  <si>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</si>
  <si>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</si>
  <si>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</si>
  <si>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</si>
  <si>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</si>
  <si>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</si>
  <si>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</si>
  <si>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</si>
  <si>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</si>
  <si>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</si>
  <si>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</si>
  <si>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</si>
  <si>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</si>
  <si>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</si>
  <si>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</si>
  <si>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</si>
  <si>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</si>
  <si>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</si>
  <si>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</si>
  <si>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</si>
  <si>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</si>
  <si>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</si>
  <si>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</si>
  <si>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</si>
  <si>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</si>
  <si>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</si>
  <si>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</si>
  <si>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</si>
  <si>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</si>
  <si>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</si>
  <si>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</si>
  <si>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</si>
  <si>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</si>
  <si>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</si>
  <si>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</si>
  <si>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</si>
  <si>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</si>
  <si>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</si>
  <si>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</si>
  <si>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</si>
  <si>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</si>
  <si>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</si>
  <si>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</si>
  <si>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</si>
  <si>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</si>
  <si>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</si>
  <si>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</si>
  <si>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</si>
  <si>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</si>
  <si>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</si>
  <si>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</si>
  <si>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</si>
  <si>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</si>
  <si>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</si>
  <si>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</si>
  <si>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</si>
  <si>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</si>
  <si>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</si>
  <si>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</si>
  <si>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</si>
  <si>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</si>
  <si>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</si>
  <si>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</si>
  <si>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</si>
  <si>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</si>
  <si>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</si>
  <si>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</si>
  <si>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</si>
  <si>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</si>
  <si>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</si>
  <si>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</si>
  <si>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</si>
  <si>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</si>
  <si>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</si>
  <si>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</si>
  <si>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</si>
  <si>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</si>
  <si>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</si>
  <si>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</si>
  <si>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</si>
  <si>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</si>
  <si>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</si>
  <si>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</si>
  <si>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</si>
  <si>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</si>
  <si>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</si>
  <si>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</si>
  <si>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</si>
  <si>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</si>
  <si>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</si>
  <si>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</si>
  <si>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</si>
  <si>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</si>
  <si>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</si>
  <si>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</si>
  <si>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</si>
  <si>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</si>
  <si>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</si>
  <si>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</si>
  <si>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</si>
  <si>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</si>
  <si>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</si>
  <si>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</si>
  <si>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</si>
  <si>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</si>
  <si>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</si>
  <si>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</si>
  <si>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</si>
  <si>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</si>
  <si>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</si>
  <si>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</si>
  <si>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</si>
  <si>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</si>
  <si>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</si>
  <si>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</si>
  <si>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</si>
  <si>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</si>
  <si>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</si>
  <si>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</si>
  <si>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</si>
  <si>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</si>
  <si>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</si>
  <si>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</si>
  <si>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</si>
  <si>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</si>
  <si>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</si>
  <si>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</si>
  <si>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</si>
  <si>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</si>
  <si>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</si>
  <si>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</si>
  <si>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</si>
  <si>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</si>
  <si>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</si>
  <si>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</si>
  <si>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</si>
  <si>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</si>
  <si>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</si>
  <si>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</si>
  <si>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</si>
  <si>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</si>
  <si>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</si>
  <si>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</si>
  <si>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</si>
  <si>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</si>
  <si>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</si>
  <si>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</si>
  <si>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</si>
  <si>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</si>
  <si>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</si>
  <si>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</si>
  <si>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</si>
  <si>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</si>
  <si>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</si>
  <si>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</si>
  <si>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</si>
  <si>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</si>
  <si>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</si>
  <si>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</si>
  <si>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</si>
  <si>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</si>
  <si>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</si>
  <si>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</si>
  <si>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</si>
  <si>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</si>
  <si>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</si>
  <si>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</si>
  <si>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</si>
  <si>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</si>
  <si>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</si>
  <si>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</si>
  <si>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</si>
  <si>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</si>
  <si>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</si>
  <si>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</si>
  <si>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</si>
  <si>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</si>
  <si>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</si>
  <si>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</si>
  <si>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</si>
  <si>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</si>
  <si>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</si>
  <si>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</si>
  <si>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</si>
  <si>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</si>
  <si>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</si>
  <si>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</si>
  <si>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</si>
  <si>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</si>
  <si>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</si>
  <si>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</si>
  <si>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</si>
  <si>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</si>
  <si>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</si>
  <si>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</si>
  <si>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</si>
  <si>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</si>
  <si>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</si>
  <si>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</si>
  <si>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</si>
  <si>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</si>
  <si>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</si>
  <si>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</si>
  <si>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</si>
  <si>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</si>
  <si>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</si>
  <si>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</si>
  <si>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</si>
  <si>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</si>
  <si>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</si>
  <si>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</si>
  <si>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</si>
  <si>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</si>
  <si>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</si>
  <si>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</si>
  <si>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</si>
  <si>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</si>
  <si>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</si>
  <si>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</si>
  <si>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</si>
  <si>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</si>
  <si>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</si>
  <si>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</si>
  <si>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</si>
  <si>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</si>
  <si>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</si>
  <si>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</si>
  <si>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</si>
  <si>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</si>
  <si>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</si>
  <si>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</si>
  <si>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</si>
  <si>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</si>
  <si>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</si>
  <si>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</si>
  <si>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</si>
  <si>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</si>
  <si>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</si>
  <si>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</si>
  <si>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</si>
  <si>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</si>
  <si>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</si>
  <si>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</si>
  <si>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</si>
  <si>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</si>
  <si>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</si>
  <si>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</si>
  <si>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</si>
  <si>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</si>
  <si>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</si>
  <si>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</si>
  <si>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</si>
  <si>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</si>
  <si>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</si>
  <si>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</si>
  <si>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</si>
  <si>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</si>
  <si>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</si>
  <si>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</si>
  <si>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</si>
  <si>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</si>
  <si>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</si>
  <si>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</si>
  <si>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</si>
  <si>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</si>
  <si>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</si>
  <si>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</si>
  <si>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</si>
  <si>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</si>
  <si>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</si>
  <si>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</si>
  <si>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</si>
  <si>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</si>
  <si>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</si>
  <si>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</si>
  <si>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</si>
  <si>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</si>
  <si>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</si>
  <si>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</si>
  <si>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</si>
  <si>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</si>
  <si>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</si>
  <si>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</si>
  <si>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</si>
  <si>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</si>
  <si>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</si>
  <si>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</si>
  <si>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</si>
  <si>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</si>
  <si>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</si>
  <si>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</si>
  <si>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</si>
  <si>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</si>
  <si>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</si>
  <si>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</si>
  <si>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</si>
  <si>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</si>
  <si>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</si>
  <si>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</si>
  <si>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</si>
  <si>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</si>
  <si>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</si>
  <si>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</si>
  <si>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</si>
  <si>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</si>
  <si>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</si>
  <si>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</si>
  <si>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</si>
  <si>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</si>
  <si>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</si>
  <si>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</si>
  <si>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</si>
  <si>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</si>
  <si>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</si>
  <si>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</si>
  <si>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</si>
  <si>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</si>
  <si>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</si>
  <si>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</si>
  <si>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</si>
  <si>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</si>
  <si>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</si>
  <si>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</si>
  <si>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</si>
  <si>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</si>
  <si>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</si>
  <si>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</si>
  <si>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</si>
  <si>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</si>
  <si>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</si>
  <si>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</si>
  <si>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</si>
  <si>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</si>
  <si>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</si>
  <si>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</si>
  <si>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</si>
  <si>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</si>
  <si>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</si>
  <si>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</si>
  <si>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</si>
  <si>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</si>
  <si>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</si>
  <si>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</si>
  <si>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</si>
  <si>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</si>
  <si>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</si>
  <si>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</si>
  <si>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</si>
  <si>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</si>
  <si>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</si>
  <si>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</si>
  <si>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</si>
  <si>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</si>
  <si>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</si>
  <si>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</si>
  <si>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</si>
  <si>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</si>
  <si>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</si>
  <si>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</si>
  <si>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</si>
  <si>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</si>
  <si>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</si>
  <si>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</si>
  <si>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</si>
  <si>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</si>
  <si>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</si>
  <si>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</si>
  <si>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</si>
  <si>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</si>
  <si>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</si>
  <si>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</si>
  <si>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</si>
  <si>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</si>
  <si>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</si>
  <si>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</si>
  <si>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</si>
  <si>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</si>
  <si>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</si>
  <si>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</si>
  <si>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</si>
  <si>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</si>
  <si>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</si>
  <si>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</si>
  <si>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</si>
  <si>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</si>
  <si>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</si>
  <si>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</si>
  <si>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</si>
  <si>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</si>
  <si>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</si>
  <si>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</si>
  <si>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</si>
  <si>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</si>
  <si>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</si>
  <si>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</si>
  <si>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</si>
  <si>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</si>
  <si>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</si>
  <si>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</si>
  <si>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</si>
  <si>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</si>
  <si>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</si>
  <si>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</si>
  <si>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</si>
  <si>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</si>
  <si>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</si>
  <si>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</si>
  <si>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</si>
  <si>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</si>
  <si>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</si>
  <si>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</si>
  <si>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</si>
  <si>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</si>
  <si>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</si>
  <si>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</si>
  <si>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</si>
  <si>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</si>
  <si>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</si>
  <si>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</si>
  <si>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</si>
  <si>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</si>
  <si>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</si>
  <si>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</si>
  <si>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</si>
  <si>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</si>
  <si>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</si>
  <si>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</si>
  <si>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</si>
  <si>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</si>
  <si>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</si>
  <si>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</si>
  <si>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</si>
  <si>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</si>
  <si>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</si>
  <si>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</si>
  <si>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</si>
  <si>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</si>
  <si>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</si>
  <si>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</si>
  <si>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</si>
  <si>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</si>
  <si>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</si>
  <si>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</si>
  <si>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</si>
  <si>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</si>
  <si>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</si>
  <si>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</si>
  <si>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</si>
  <si>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</si>
  <si>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</si>
  <si>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</si>
  <si>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</si>
  <si>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</si>
  <si>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</si>
  <si>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</si>
  <si>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</si>
  <si>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</si>
  <si>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</si>
  <si>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</si>
  <si>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</si>
  <si>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</si>
  <si>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</si>
  <si>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</si>
  <si>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</si>
  <si>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</si>
  <si>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</si>
  <si>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</si>
  <si>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</si>
  <si>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</si>
  <si>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</si>
  <si>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</si>
  <si>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</si>
  <si>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</si>
  <si>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</si>
  <si>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</si>
  <si>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</si>
  <si>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</si>
  <si>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</si>
  <si>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</si>
  <si>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</si>
  <si>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</si>
  <si>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</si>
  <si>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</si>
  <si>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</si>
  <si>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</si>
  <si>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</si>
  <si>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</si>
  <si>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</si>
  <si>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</si>
  <si>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</si>
  <si>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</si>
  <si>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</si>
  <si>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</si>
  <si>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</si>
  <si>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</si>
  <si>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</si>
  <si>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</si>
  <si>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</si>
  <si>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</si>
  <si>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</si>
  <si>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</si>
  <si>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</si>
  <si>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</si>
  <si>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</si>
  <si>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</si>
  <si>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</si>
  <si>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</si>
  <si>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</si>
  <si>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</si>
  <si>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</si>
  <si>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</si>
  <si>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</si>
  <si>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</si>
  <si>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</si>
  <si>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</si>
  <si>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</si>
  <si>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</si>
  <si>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</si>
  <si>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</si>
  <si>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</si>
  <si>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</si>
  <si>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</si>
  <si>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</si>
  <si>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</si>
  <si>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</si>
  <si>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</si>
  <si>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</si>
  <si>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</si>
  <si>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</si>
  <si>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</si>
  <si>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</si>
  <si>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</si>
  <si>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</si>
  <si>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</si>
  <si>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</si>
  <si>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</si>
  <si>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</si>
  <si>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</si>
  <si>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</si>
  <si>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</si>
  <si>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</si>
  <si>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</si>
  <si>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</si>
  <si>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</si>
  <si>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</si>
  <si>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</si>
  <si>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</si>
  <si>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</si>
  <si>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</si>
  <si>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</si>
  <si>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</si>
  <si>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</si>
  <si>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</si>
  <si>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</si>
  <si>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</si>
  <si>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</si>
  <si>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</si>
  <si>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</si>
  <si>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</si>
  <si>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</si>
  <si>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</si>
  <si>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</si>
  <si>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</si>
  <si>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</si>
  <si>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</si>
  <si>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</si>
  <si>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</si>
  <si>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</si>
  <si>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</si>
  <si>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</si>
  <si>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</si>
  <si>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</si>
  <si>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</si>
  <si>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</si>
  <si>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</si>
  <si>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</si>
  <si>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</si>
  <si>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</si>
  <si>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</si>
  <si>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</si>
  <si>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</si>
  <si>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</si>
  <si>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</si>
  <si>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</si>
  <si>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</si>
  <si>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</si>
  <si>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</si>
  <si>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</si>
  <si>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</si>
  <si>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</si>
  <si>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</si>
  <si>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</si>
  <si>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</si>
  <si>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</si>
  <si>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</si>
  <si>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</si>
  <si>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</si>
  <si>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</si>
  <si>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</si>
  <si>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</si>
  <si>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</si>
  <si>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</si>
  <si>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</si>
  <si>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</si>
  <si>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</si>
  <si>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</si>
  <si>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</si>
  <si>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</si>
  <si>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</si>
  <si>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</si>
  <si>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</si>
  <si>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</si>
  <si>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</si>
  <si>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</si>
  <si>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</si>
  <si>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</si>
  <si>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</si>
  <si>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</si>
  <si>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</si>
  <si>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</si>
  <si>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</si>
  <si>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</si>
  <si>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</si>
  <si>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</si>
  <si>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</si>
  <si>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</si>
  <si>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</si>
  <si>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</si>
  <si>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</si>
  <si>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</si>
  <si>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</si>
  <si>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</si>
  <si>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</si>
  <si>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</si>
  <si>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</si>
  <si>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</si>
  <si>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</si>
  <si>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</si>
  <si>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</si>
  <si>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</si>
  <si>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</si>
  <si>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</si>
  <si>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</si>
  <si>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</si>
  <si>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</si>
  <si>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</si>
  <si>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</si>
  <si>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</si>
  <si>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</si>
  <si>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</si>
  <si>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</si>
  <si>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</si>
  <si>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</si>
  <si>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</si>
  <si>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</si>
  <si>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</si>
  <si>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</si>
  <si>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</si>
  <si>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</si>
  <si>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</si>
  <si>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</si>
  <si>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</si>
  <si>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</si>
  <si>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</si>
  <si>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</si>
  <si>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</si>
  <si>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</si>
  <si>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</si>
  <si>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</si>
  <si>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</si>
  <si>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</si>
  <si>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</si>
  <si>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</si>
  <si>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</si>
  <si>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</si>
  <si>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</si>
  <si>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</si>
  <si>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</si>
  <si>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</si>
  <si>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</si>
  <si>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</si>
  <si>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</si>
  <si>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</si>
  <si>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</si>
  <si>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</si>
  <si>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</si>
  <si>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</si>
  <si>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</si>
  <si>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</si>
  <si>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</si>
  <si>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</si>
  <si>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</si>
  <si>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</si>
  <si>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</si>
  <si>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</si>
  <si>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</si>
  <si>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</si>
  <si>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</si>
  <si>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</si>
  <si>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</si>
  <si>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</si>
  <si>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</si>
  <si>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</si>
  <si>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</si>
  <si>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</si>
  <si>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</si>
  <si>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</si>
  <si>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</si>
  <si>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</si>
  <si>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</si>
  <si>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</si>
  <si>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</si>
  <si>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</si>
  <si>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</si>
  <si>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</si>
  <si>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</si>
  <si>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</si>
  <si>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</si>
  <si>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</si>
  <si>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</si>
  <si>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</si>
  <si>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</si>
  <si>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</si>
  <si>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</si>
  <si>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</si>
  <si>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</si>
  <si>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</si>
  <si>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</si>
  <si>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</si>
  <si>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</si>
  <si>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</si>
  <si>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</si>
  <si>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</si>
  <si>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</si>
  <si>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</si>
  <si>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</si>
  <si>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</si>
  <si>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</si>
  <si>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</si>
  <si>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</si>
  <si>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</si>
  <si>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</si>
  <si>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</si>
  <si>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</si>
  <si>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</si>
  <si>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</si>
  <si>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</si>
  <si>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</si>
  <si>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</si>
  <si>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</si>
  <si>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</si>
  <si>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</si>
  <si>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</si>
  <si>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</si>
  <si>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</si>
  <si>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</si>
  <si>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</si>
  <si>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</si>
  <si>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</si>
  <si>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</si>
  <si>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</si>
  <si>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</si>
  <si>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</si>
  <si>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</si>
  <si>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</si>
  <si>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</si>
  <si>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</si>
  <si>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</si>
  <si>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</si>
  <si>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</si>
  <si>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</si>
  <si>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</si>
  <si>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</si>
  <si>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</si>
  <si>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</si>
  <si>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</si>
  <si>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</si>
  <si>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</si>
  <si>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</si>
  <si>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</si>
  <si>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</si>
  <si>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</si>
  <si>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</si>
  <si>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</si>
  <si>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</si>
  <si>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</si>
  <si>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</si>
  <si>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</si>
  <si>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</si>
  <si>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</si>
  <si>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</si>
  <si>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</si>
  <si>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</si>
  <si>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</si>
  <si>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</si>
  <si>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</si>
  <si>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</si>
  <si>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</si>
  <si>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</si>
  <si>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</si>
  <si>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</si>
  <si>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</si>
  <si>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</si>
  <si>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</si>
  <si>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</si>
  <si>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</si>
  <si>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</si>
  <si>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</si>
  <si>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</si>
  <si>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</si>
  <si>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</si>
  <si>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</si>
  <si>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</si>
  <si>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</si>
  <si>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</si>
  <si>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</si>
  <si>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</si>
  <si>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</si>
  <si>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</si>
  <si>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</si>
  <si>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</si>
  <si>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</si>
  <si>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</si>
  <si>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</si>
  <si>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</si>
  <si>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</si>
  <si>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</si>
  <si>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</si>
  <si>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</si>
  <si>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</si>
  <si>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</si>
  <si>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</si>
  <si>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</si>
  <si>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</si>
  <si>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</si>
  <si>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</si>
  <si>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</si>
  <si>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</si>
  <si>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</si>
  <si>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</si>
  <si>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</si>
  <si>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</si>
  <si>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</si>
  <si>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</si>
  <si>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</si>
  <si>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</si>
  <si>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</si>
  <si>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</si>
  <si>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</si>
  <si>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</si>
  <si>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</si>
  <si>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</si>
  <si>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</si>
  <si>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</si>
  <si>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</si>
  <si>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</si>
  <si>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</si>
  <si>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</si>
  <si>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</si>
  <si>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</si>
  <si>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</si>
  <si>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</si>
  <si>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</si>
  <si>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</si>
  <si>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</si>
  <si>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</si>
  <si>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</si>
  <si>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</si>
  <si>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</si>
  <si>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</si>
  <si>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</si>
  <si>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</si>
  <si>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</si>
  <si>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</si>
  <si>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</si>
  <si>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</si>
  <si>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</si>
  <si>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</si>
  <si>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</si>
  <si>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</si>
  <si>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</si>
  <si>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</si>
  <si>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</si>
  <si>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</si>
  <si>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</si>
  <si>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</si>
  <si>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</si>
  <si>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</si>
  <si>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</si>
  <si>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</si>
  <si>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</si>
  <si>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</si>
  <si>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</si>
  <si>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</si>
  <si>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</si>
  <si>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</si>
  <si>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</si>
  <si>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</si>
  <si>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</si>
  <si>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</si>
  <si>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</si>
  <si>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</si>
  <si>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</si>
  <si>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</si>
  <si>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</si>
  <si>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</si>
  <si>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</si>
  <si>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</si>
  <si>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</si>
  <si>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</si>
  <si>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</si>
  <si>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</si>
  <si>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</si>
  <si>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</si>
  <si>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</si>
  <si>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</si>
  <si>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</si>
  <si>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</si>
  <si>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</si>
  <si>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</si>
  <si>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</si>
  <si>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</si>
  <si>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</si>
  <si>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</si>
  <si>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</si>
  <si>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</si>
  <si>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</si>
  <si>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</si>
  <si>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</si>
  <si>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</si>
  <si>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</si>
  <si>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</si>
  <si>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</si>
  <si>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</si>
  <si>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</si>
  <si>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</si>
  <si>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</si>
  <si>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</si>
  <si>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</si>
  <si>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</si>
  <si>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</si>
  <si>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</si>
  <si>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</si>
  <si>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</si>
  <si>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</si>
  <si>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</si>
  <si>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</si>
  <si>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</si>
  <si>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</si>
  <si>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</si>
  <si>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</si>
  <si>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</si>
  <si>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</si>
  <si>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</si>
  <si>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</si>
  <si>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</si>
  <si>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</si>
  <si>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</si>
  <si>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</si>
  <si>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</si>
  <si>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</si>
  <si>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</si>
  <si>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</si>
  <si>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</si>
  <si>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</si>
  <si>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</si>
  <si>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</si>
  <si>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</si>
  <si>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</si>
  <si>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</si>
  <si>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</si>
  <si>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</si>
  <si>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</si>
  <si>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</si>
  <si>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</si>
  <si>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</si>
  <si>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</si>
  <si>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</si>
  <si>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</si>
  <si>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</si>
  <si>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</si>
  <si>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</si>
  <si>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</si>
  <si>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</si>
  <si>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</si>
  <si>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</si>
  <si>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</si>
  <si>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</si>
  <si>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</si>
  <si>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</si>
  <si>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</si>
  <si>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</si>
  <si>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</si>
  <si>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</si>
  <si>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</si>
  <si>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</si>
  <si>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</si>
  <si>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</si>
  <si>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</si>
  <si>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</si>
  <si>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</si>
  <si>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</si>
  <si>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</si>
  <si>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</si>
  <si>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</si>
  <si>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</si>
  <si>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</si>
  <si>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</si>
  <si>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</si>
  <si>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</si>
  <si>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</si>
  <si>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</si>
  <si>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</si>
  <si>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</si>
  <si>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</si>
  <si>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</si>
  <si>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</si>
  <si>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</si>
  <si>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</si>
  <si>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</si>
  <si>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</si>
  <si>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</si>
  <si>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</si>
  <si>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</si>
  <si>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</si>
  <si>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</si>
  <si>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</si>
  <si>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</si>
  <si>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</si>
  <si>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</si>
  <si>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</si>
  <si>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</si>
  <si>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</si>
  <si>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</si>
  <si>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</si>
  <si>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</si>
  <si>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</si>
  <si>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</si>
  <si>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</si>
  <si>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</si>
  <si>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</si>
  <si>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</si>
  <si>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</si>
  <si>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</si>
  <si>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</si>
  <si>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</si>
  <si>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</si>
  <si>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</si>
  <si>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</si>
  <si>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</si>
  <si>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</si>
  <si>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</si>
  <si>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</si>
  <si>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</si>
  <si>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</si>
  <si>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</si>
  <si>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</si>
  <si>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</si>
  <si>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</si>
  <si>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</si>
  <si>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</si>
  <si>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</si>
  <si>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</si>
  <si>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</si>
  <si>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</si>
  <si>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</si>
  <si>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</si>
  <si>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</si>
  <si>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</si>
  <si>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</si>
  <si>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</si>
  <si>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</si>
  <si>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</si>
  <si>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</si>
  <si>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</si>
  <si>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</si>
  <si>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</si>
  <si>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</si>
  <si>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</si>
  <si>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</si>
  <si>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</si>
  <si>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</si>
  <si>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</si>
  <si>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</si>
  <si>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</si>
  <si>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</si>
  <si>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</si>
  <si>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</si>
  <si>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</si>
  <si>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</si>
  <si>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</si>
  <si>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</si>
  <si>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</si>
  <si>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</si>
  <si>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</si>
  <si>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</si>
  <si>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</si>
  <si>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</si>
  <si>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</si>
  <si>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</si>
  <si>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</si>
  <si>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</si>
  <si>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</si>
  <si>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</si>
  <si>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</si>
  <si>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</si>
  <si>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</si>
  <si>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</si>
  <si>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</si>
  <si>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</si>
  <si>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</si>
  <si>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</si>
  <si>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</si>
  <si>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</si>
  <si>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</si>
  <si>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</si>
  <si>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</si>
  <si>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</si>
  <si>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</si>
  <si>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</si>
  <si>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</si>
  <si>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</si>
  <si>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</si>
  <si>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</si>
  <si>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</si>
  <si>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</si>
  <si>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</si>
  <si>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</si>
  <si>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</si>
  <si>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</si>
  <si>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</si>
  <si>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</si>
  <si>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</si>
  <si>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</si>
  <si>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</si>
  <si>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</si>
  <si>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</si>
  <si>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</si>
  <si>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</si>
  <si>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</si>
  <si>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</si>
  <si>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</si>
  <si>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</si>
  <si>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</si>
  <si>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</si>
  <si>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</si>
  <si>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</si>
  <si>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</si>
  <si>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</si>
  <si>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</si>
  <si>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</si>
  <si>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</si>
  <si>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</si>
  <si>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</si>
  <si>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</si>
  <si>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</si>
  <si>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</si>
  <si>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</si>
  <si>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</si>
  <si>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</si>
  <si>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</si>
  <si>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</si>
  <si>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</si>
  <si>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</si>
  <si>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</si>
  <si>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</si>
  <si>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</si>
  <si>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</si>
  <si>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</si>
  <si>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</si>
  <si>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</si>
  <si>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</si>
  <si>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</si>
  <si>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</si>
  <si>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</si>
  <si>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</si>
  <si>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</si>
  <si>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</si>
  <si>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</si>
  <si>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</si>
  <si>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</si>
  <si>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</si>
  <si>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</si>
  <si>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</si>
  <si>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</si>
  <si>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</si>
  <si>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</si>
  <si>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</si>
  <si>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</si>
  <si>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</si>
  <si>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</si>
  <si>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</si>
  <si>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</si>
  <si>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</si>
  <si>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</si>
  <si>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</si>
  <si>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</si>
  <si>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</si>
  <si>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</si>
  <si>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</si>
  <si>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</si>
  <si>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</si>
  <si>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</si>
  <si>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</si>
  <si>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</si>
  <si>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</si>
  <si>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</si>
  <si>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</si>
  <si>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</si>
  <si>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</si>
  <si>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</si>
  <si>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</si>
  <si>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</si>
  <si>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</si>
  <si>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</si>
  <si>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</si>
  <si>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</si>
  <si>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</si>
  <si>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</si>
  <si>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</si>
  <si>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</si>
  <si>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</si>
  <si>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</si>
  <si>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</si>
  <si>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</si>
  <si>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</si>
  <si>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</si>
  <si>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</si>
  <si>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</si>
  <si>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</si>
  <si>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</si>
  <si>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</si>
  <si>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</si>
  <si>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</si>
  <si>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</si>
  <si>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</si>
  <si>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</si>
  <si>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</si>
  <si>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</si>
  <si>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</si>
  <si>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</si>
  <si>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</si>
  <si>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</si>
  <si>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</si>
  <si>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</si>
  <si>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</si>
  <si>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</si>
  <si>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</si>
  <si>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</si>
  <si>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</si>
  <si>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</si>
  <si>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</si>
  <si>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</si>
  <si>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</si>
  <si>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</si>
  <si>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</si>
  <si>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</si>
  <si>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</si>
  <si>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</si>
  <si>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</si>
  <si>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</si>
  <si>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</si>
  <si>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</si>
  <si>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</si>
  <si>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</si>
  <si>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</si>
  <si>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</si>
  <si>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</si>
  <si>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</si>
  <si>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</si>
  <si>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</si>
  <si>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</si>
  <si>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</si>
  <si>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</si>
  <si>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</si>
  <si>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</si>
  <si>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</si>
  <si>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</si>
  <si>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</si>
  <si>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</si>
  <si>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</si>
  <si>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</si>
  <si>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</si>
  <si>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</si>
  <si>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</si>
  <si>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</si>
  <si>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</si>
  <si>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</si>
  <si>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</si>
  <si>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</si>
  <si>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</si>
  <si>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</si>
  <si>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</si>
  <si>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</si>
  <si>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</si>
  <si>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</si>
  <si>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</si>
  <si>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</si>
  <si>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</si>
  <si>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</si>
  <si>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</si>
  <si>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</si>
  <si>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</si>
  <si>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</si>
  <si>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</si>
  <si>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</si>
  <si>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</si>
  <si>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</si>
  <si>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</si>
  <si>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</si>
  <si>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</si>
  <si>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</si>
  <si>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</si>
  <si>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</si>
  <si>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</si>
  <si>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</si>
  <si>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</si>
  <si>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</si>
  <si>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</si>
  <si>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</si>
  <si>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</si>
  <si>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</si>
  <si>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</si>
  <si>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</si>
  <si>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</si>
  <si>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</si>
  <si>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</si>
  <si>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</si>
  <si>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</si>
  <si>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</si>
  <si>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</si>
  <si>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</si>
  <si>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</si>
  <si>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</si>
  <si>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</si>
  <si>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</si>
  <si>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</si>
  <si>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</si>
  <si>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</si>
  <si>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</si>
  <si>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</si>
  <si>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</si>
  <si>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</si>
  <si>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</si>
  <si>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</si>
  <si>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</si>
  <si>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</si>
  <si>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</si>
  <si>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</si>
  <si>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</si>
  <si>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</si>
  <si>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</si>
  <si>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</si>
  <si>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</si>
  <si>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</si>
  <si>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</si>
  <si>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</si>
  <si>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</si>
  <si>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</si>
  <si>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</si>
  <si>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</si>
  <si>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</si>
  <si>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</si>
  <si>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</si>
  <si>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</si>
  <si>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</si>
  <si>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</si>
  <si>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</si>
  <si>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</si>
  <si>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</si>
  <si>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</si>
  <si>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</si>
  <si>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</si>
  <si>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</si>
  <si>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</si>
  <si>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</si>
  <si>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</si>
  <si>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</si>
  <si>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</si>
  <si>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</si>
  <si>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</si>
  <si>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</si>
  <si>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</si>
  <si>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</si>
  <si>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</si>
  <si>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</si>
  <si>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</si>
  <si>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</si>
  <si>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</si>
  <si>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</si>
  <si>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</si>
  <si>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</si>
  <si>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</si>
  <si>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</si>
  <si>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</si>
  <si>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</si>
  <si>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</si>
  <si>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</si>
  <si>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</si>
  <si>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</si>
  <si>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</si>
  <si>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</si>
  <si>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</si>
  <si>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</si>
  <si>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</si>
  <si>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</si>
  <si>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</si>
  <si>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</si>
  <si>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</si>
  <si>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</si>
  <si>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</si>
  <si>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</si>
  <si>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</si>
  <si>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</si>
  <si>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</si>
  <si>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</si>
  <si>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</si>
  <si>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</si>
  <si>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</si>
  <si>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</si>
  <si>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</si>
  <si>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</si>
  <si>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</si>
  <si>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</si>
  <si>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</si>
  <si>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</si>
  <si>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</si>
  <si>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</si>
  <si>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</si>
  <si>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</si>
  <si>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</si>
  <si>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</si>
  <si>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</si>
  <si>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</si>
  <si>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</si>
  <si>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</si>
  <si>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</si>
  <si>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</si>
  <si>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</si>
  <si>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</si>
  <si>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</si>
  <si>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</si>
  <si>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</si>
  <si>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</si>
  <si>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</si>
  <si>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</si>
  <si>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</si>
  <si>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</si>
  <si>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</si>
  <si>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</si>
  <si>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</si>
  <si>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</si>
  <si>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</si>
  <si>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</si>
  <si>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</si>
  <si>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</si>
  <si>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</si>
  <si>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</si>
  <si>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</si>
  <si>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</si>
  <si>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</si>
  <si>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</si>
  <si>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</si>
  <si>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</si>
  <si>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</si>
  <si>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</si>
  <si>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</si>
  <si>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</si>
  <si>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</si>
  <si>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</si>
  <si>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</si>
  <si>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</si>
  <si>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</si>
  <si>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</si>
  <si>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</si>
  <si>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</si>
  <si>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</si>
  <si>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</si>
  <si>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</si>
  <si>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</si>
  <si>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</si>
  <si>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</si>
  <si>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</si>
  <si>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</si>
  <si>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</si>
  <si>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</si>
  <si>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</si>
  <si>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</si>
  <si>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</si>
  <si>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</si>
  <si>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</si>
  <si>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</si>
  <si>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</si>
  <si>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</si>
  <si>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</si>
  <si>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</si>
  <si>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</si>
  <si>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</si>
  <si>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</si>
  <si>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</si>
  <si>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</si>
  <si>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</si>
  <si>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</si>
  <si>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</si>
  <si>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</si>
  <si>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</si>
  <si>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</si>
  <si>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</si>
  <si>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</si>
  <si>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</si>
  <si>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</si>
  <si>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</si>
  <si>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</si>
  <si>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</si>
  <si>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</si>
  <si>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</si>
  <si>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</si>
  <si>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</si>
  <si>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</si>
  <si>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</si>
  <si>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</si>
  <si>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</si>
  <si>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</si>
  <si>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</si>
  <si>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</si>
  <si>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</si>
  <si>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</si>
  <si>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</si>
  <si>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</si>
  <si>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</si>
  <si>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</si>
  <si>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</si>
  <si>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</si>
  <si>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</si>
  <si>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</si>
  <si>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</si>
  <si>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</si>
  <si>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</si>
  <si>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</si>
  <si>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</si>
  <si>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</si>
  <si>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</si>
  <si>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</si>
  <si>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</si>
  <si>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</si>
  <si>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</si>
  <si>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</si>
  <si>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</si>
  <si>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</si>
  <si>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</si>
  <si>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</si>
  <si>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</si>
  <si>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</si>
  <si>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</si>
  <si>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</si>
  <si>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</si>
  <si>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</si>
  <si>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</si>
  <si>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</si>
  <si>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</si>
  <si>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</si>
  <si>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</si>
  <si>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</si>
  <si>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</si>
  <si>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</si>
  <si>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</si>
  <si>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</si>
  <si>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</si>
  <si>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</si>
  <si>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</si>
  <si>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</si>
  <si>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</si>
  <si>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</si>
  <si>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</si>
  <si>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</si>
  <si>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</si>
  <si>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</si>
  <si>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</si>
  <si>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</si>
  <si>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</si>
  <si>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</si>
  <si>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</si>
  <si>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</si>
  <si>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</si>
  <si>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</si>
  <si>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</si>
  <si>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</si>
  <si>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</si>
  <si>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</si>
  <si>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</si>
  <si>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</si>
  <si>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</si>
  <si>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</si>
  <si>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</si>
  <si>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</si>
  <si>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</si>
  <si>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</si>
  <si>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</si>
  <si>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</si>
  <si>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</si>
  <si>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</si>
  <si>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</si>
  <si>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</si>
  <si>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</si>
  <si>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</si>
  <si>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</si>
  <si>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</si>
  <si>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</si>
  <si>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</si>
  <si>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</si>
  <si>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</si>
  <si>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</si>
  <si>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</si>
  <si>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</si>
  <si>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</si>
  <si>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</si>
  <si>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</si>
  <si>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</si>
  <si>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</si>
  <si>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</si>
  <si>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</si>
  <si>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</si>
  <si>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</si>
  <si>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</si>
  <si>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</si>
  <si>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</si>
  <si>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</si>
  <si>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</si>
  <si>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</si>
  <si>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</si>
  <si>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</si>
  <si>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</si>
  <si>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</si>
  <si>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</si>
  <si>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</si>
  <si>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</si>
  <si>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</si>
  <si>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</si>
  <si>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</si>
  <si>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</si>
  <si>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</si>
  <si>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</si>
  <si>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</si>
  <si>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</si>
  <si>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</si>
  <si>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</si>
  <si>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</si>
  <si>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</si>
  <si>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</si>
  <si>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</si>
  <si>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</si>
  <si>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</si>
  <si>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</si>
  <si>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</si>
  <si>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</si>
  <si>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</si>
  <si>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</si>
  <si>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</si>
  <si>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</si>
  <si>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</si>
  <si>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</si>
  <si>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</si>
  <si>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</si>
  <si>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</si>
  <si>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</si>
  <si>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</si>
  <si>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</si>
  <si>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</si>
  <si>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</si>
  <si>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</si>
  <si>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</si>
  <si>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</si>
  <si>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</si>
  <si>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</si>
  <si>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</si>
  <si>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</si>
  <si>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</si>
  <si>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</si>
  <si>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</si>
  <si>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</si>
  <si>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</si>
  <si>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</si>
  <si>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</si>
  <si>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</si>
  <si>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</si>
  <si>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</si>
  <si>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</si>
  <si>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</si>
  <si>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</si>
  <si>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</si>
  <si>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</si>
  <si>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</si>
  <si>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</si>
  <si>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</si>
  <si>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</si>
  <si>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</si>
  <si>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</si>
  <si>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</si>
  <si>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</si>
  <si>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</si>
  <si>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</si>
  <si>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</si>
  <si>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</si>
  <si>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</si>
  <si>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</si>
  <si>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</si>
  <si>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</si>
  <si>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</si>
  <si>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</si>
  <si>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</si>
  <si>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</si>
  <si>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</si>
  <si>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</si>
  <si>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</si>
  <si>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</si>
  <si>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</si>
  <si>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</si>
  <si>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</si>
  <si>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</si>
  <si>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</si>
  <si>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</si>
  <si>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</si>
  <si>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</si>
  <si>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</si>
  <si>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</si>
  <si>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</si>
  <si>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</si>
  <si>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</si>
  <si>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</si>
  <si>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</si>
  <si>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</si>
  <si>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</si>
  <si>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</si>
  <si>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</si>
  <si>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</si>
  <si>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</si>
  <si>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</si>
  <si>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</si>
  <si>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</si>
  <si>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</si>
  <si>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</si>
  <si>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</si>
  <si>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</si>
  <si>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</si>
  <si>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</si>
  <si>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</si>
  <si>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</si>
  <si>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</si>
  <si>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</si>
  <si>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</si>
  <si>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</si>
  <si>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</si>
  <si>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</si>
  <si>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</si>
  <si>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</si>
  <si>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</si>
  <si>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</si>
  <si>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</si>
  <si>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</si>
  <si>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</si>
  <si>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</si>
  <si>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</si>
  <si>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</si>
  <si>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</si>
  <si>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</si>
  <si>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</si>
  <si>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</si>
  <si>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</si>
  <si>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</si>
  <si>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</si>
  <si>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</si>
  <si>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</si>
  <si>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</si>
  <si>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</si>
  <si>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</si>
  <si>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</si>
  <si>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</si>
  <si>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</si>
  <si>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</si>
  <si>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</si>
  <si>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</si>
  <si>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</si>
  <si>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</si>
  <si>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</si>
  <si>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</si>
  <si>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</si>
  <si>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</si>
  <si>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</si>
  <si>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</si>
  <si>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</si>
  <si>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</si>
  <si>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</si>
  <si>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</si>
  <si>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</si>
  <si>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</si>
  <si>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</si>
  <si>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</si>
  <si>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</si>
  <si>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</si>
  <si>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</si>
  <si>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</si>
  <si>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</si>
  <si>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</si>
  <si>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</si>
  <si>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</si>
  <si>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</si>
  <si>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</si>
  <si>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</si>
  <si>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</si>
  <si>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</si>
  <si>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</si>
  <si>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</si>
  <si>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</si>
  <si>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</si>
  <si>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</si>
  <si>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</si>
  <si>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</si>
  <si>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</si>
  <si>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</si>
  <si>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</si>
  <si>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</si>
  <si>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</si>
  <si>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</si>
  <si>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</si>
  <si>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</si>
  <si>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</si>
  <si>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</si>
  <si>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</si>
  <si>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</si>
  <si>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</si>
  <si>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</si>
  <si>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</si>
  <si>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</si>
  <si>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</si>
  <si>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</si>
  <si>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</si>
  <si>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</si>
  <si>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</si>
  <si>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</si>
  <si>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</si>
  <si>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</si>
  <si>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</si>
  <si>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</si>
  <si>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</si>
  <si>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</si>
  <si>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</si>
  <si>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</si>
  <si>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</si>
  <si>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</si>
  <si>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</si>
  <si>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</si>
  <si>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</si>
  <si>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</si>
  <si>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</si>
  <si>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</si>
  <si>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</si>
  <si>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</si>
  <si>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</si>
  <si>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</si>
  <si>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</si>
  <si>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</si>
  <si>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</si>
  <si>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</si>
  <si>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</si>
  <si>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</si>
  <si>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</si>
  <si>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</si>
  <si>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</si>
  <si>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</si>
  <si>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</si>
  <si>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</si>
  <si>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</si>
  <si>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</si>
  <si>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</si>
  <si>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</si>
  <si>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</si>
  <si>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</si>
  <si>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</si>
  <si>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</si>
  <si>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</si>
  <si>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</si>
  <si>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</si>
  <si>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</si>
  <si>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</si>
  <si>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</si>
  <si>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</si>
  <si>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</si>
  <si>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</si>
  <si>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</si>
  <si>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</si>
  <si>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</si>
  <si>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</si>
  <si>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</si>
  <si>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</si>
  <si>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</si>
  <si>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</si>
  <si>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</si>
  <si>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</si>
  <si>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</si>
  <si>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</si>
  <si>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</si>
  <si>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</si>
  <si>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</si>
  <si>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</si>
  <si>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</si>
  <si>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</si>
  <si>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</si>
  <si>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</si>
  <si>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</si>
  <si>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</si>
  <si>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</si>
  <si>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</si>
  <si>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</si>
  <si>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</si>
  <si>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</si>
  <si>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</si>
  <si>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</si>
  <si>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</si>
  <si>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</si>
  <si>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</si>
  <si>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</si>
  <si>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</si>
  <si>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</si>
  <si>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</si>
  <si>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</si>
  <si>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</si>
  <si>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</si>
  <si>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</si>
  <si>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</si>
  <si>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</si>
  <si>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</si>
  <si>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</si>
  <si>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</si>
  <si>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</si>
  <si>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</si>
  <si>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</si>
  <si>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</si>
  <si>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</si>
  <si>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</si>
  <si>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</si>
  <si>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</si>
  <si>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</si>
  <si>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</si>
  <si>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</si>
  <si>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</si>
  <si>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</si>
  <si>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</si>
  <si>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</si>
  <si>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</si>
  <si>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</si>
  <si>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</si>
  <si>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</si>
  <si>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</si>
  <si>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</si>
  <si>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</si>
  <si>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</si>
  <si>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</si>
  <si>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</si>
  <si>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</si>
  <si>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</si>
  <si>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</si>
  <si>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</si>
  <si>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</si>
  <si>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</si>
  <si>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</si>
  <si>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</si>
  <si>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</si>
  <si>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</si>
  <si>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</si>
  <si>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</si>
  <si>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</si>
  <si>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</si>
  <si>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</si>
  <si>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</si>
  <si>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</si>
  <si>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</si>
  <si>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</si>
  <si>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</si>
  <si>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</si>
  <si>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</si>
  <si>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</si>
  <si>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</si>
  <si>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</si>
  <si>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</si>
  <si>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</si>
  <si>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</si>
  <si>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</si>
  <si>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</si>
  <si>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</si>
  <si>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</si>
  <si>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</si>
  <si>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</si>
  <si>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</si>
  <si>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</si>
  <si>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</si>
  <si>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</si>
  <si>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</si>
  <si>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</si>
  <si>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</si>
  <si>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</si>
  <si>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</si>
  <si>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</si>
  <si>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</si>
  <si>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</si>
  <si>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</si>
  <si>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</si>
  <si>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</si>
  <si>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</si>
  <si>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</si>
  <si>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</si>
  <si>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</si>
  <si>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</si>
  <si>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</si>
  <si>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</si>
  <si>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</si>
  <si>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</si>
  <si>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</si>
  <si>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</si>
  <si>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</si>
  <si>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</si>
  <si>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</si>
  <si>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</si>
  <si>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</si>
  <si>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</si>
  <si>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</si>
  <si>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</si>
  <si>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</si>
  <si>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</si>
  <si>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</si>
  <si>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</si>
  <si>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</si>
  <si>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</si>
  <si>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</si>
  <si>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</si>
  <si>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</si>
  <si>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</si>
  <si>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</si>
  <si>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</si>
  <si>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</si>
  <si>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</si>
  <si>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</si>
  <si>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</si>
  <si>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</si>
  <si>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</si>
  <si>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</si>
  <si>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</si>
  <si>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</si>
  <si>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</si>
  <si>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</si>
  <si>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</si>
  <si>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</si>
  <si>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</si>
  <si>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</si>
  <si>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</si>
  <si>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</si>
  <si>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</si>
  <si>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</si>
  <si>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</si>
  <si>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</si>
  <si>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</si>
  <si>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</si>
  <si>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</si>
  <si>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</si>
  <si>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</si>
  <si>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</si>
  <si>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</si>
  <si>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</si>
  <si>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</si>
  <si>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</si>
  <si>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</si>
  <si>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</si>
  <si>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</si>
  <si>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</si>
  <si>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</si>
  <si>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</si>
  <si>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</si>
  <si>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</si>
  <si>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</si>
  <si>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</si>
  <si>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</si>
  <si>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</si>
  <si>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</si>
  <si>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</si>
  <si>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</si>
  <si>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</si>
  <si>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</si>
  <si>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</si>
  <si>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</si>
  <si>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</si>
  <si>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</si>
  <si>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</si>
  <si>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</si>
  <si>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</si>
  <si>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</si>
  <si>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</si>
  <si>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</si>
  <si>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</si>
  <si>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</si>
  <si>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</si>
  <si>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</si>
  <si>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</si>
  <si>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</si>
  <si>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</si>
  <si>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</si>
  <si>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</si>
  <si>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</si>
  <si>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</si>
  <si>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</si>
  <si>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</si>
  <si>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</si>
  <si>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</si>
  <si>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</si>
  <si>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</si>
  <si>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</si>
  <si>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</si>
  <si>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</si>
  <si>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</si>
  <si>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</si>
  <si>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</si>
  <si>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</si>
  <si>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</si>
  <si>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</si>
  <si>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</si>
  <si>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</si>
  <si>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</si>
  <si>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</si>
  <si>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</si>
  <si>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</si>
  <si>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</si>
  <si>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</si>
  <si>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</si>
  <si>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</si>
  <si>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</si>
  <si>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</si>
  <si>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</si>
  <si>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</si>
  <si>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</si>
  <si>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</si>
  <si>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</si>
  <si>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</si>
  <si>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</si>
  <si>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</si>
  <si>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</si>
  <si>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</si>
  <si>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</si>
  <si>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</si>
  <si>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</si>
  <si>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</si>
  <si>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</si>
  <si>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</si>
  <si>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</si>
  <si>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</si>
  <si>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</si>
  <si>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</si>
  <si>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</si>
  <si>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</si>
  <si>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</si>
  <si>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</si>
  <si>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</si>
  <si>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</si>
  <si>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</si>
  <si>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</si>
  <si>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</si>
  <si>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</si>
  <si>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</si>
  <si>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</si>
  <si>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</si>
  <si>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</si>
  <si>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</si>
  <si>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</si>
  <si>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</si>
  <si>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</si>
  <si>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</si>
  <si>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</si>
  <si>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</si>
  <si>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</si>
  <si>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</si>
  <si>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</si>
  <si>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</si>
  <si>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</si>
  <si>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</si>
  <si>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</si>
  <si>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</si>
  <si>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</si>
  <si>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</si>
  <si>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</si>
  <si>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</si>
  <si>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</si>
  <si>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</si>
  <si>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</si>
  <si>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</si>
  <si>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</si>
  <si>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</si>
  <si>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</si>
  <si>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</si>
  <si>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</si>
  <si>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</si>
  <si>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</si>
  <si>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</si>
  <si>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</si>
  <si>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</si>
  <si>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</si>
  <si>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</si>
  <si>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</si>
  <si>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</si>
  <si>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</si>
  <si>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</si>
  <si>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</si>
  <si>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</si>
  <si>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</si>
  <si>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</si>
  <si>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</si>
  <si>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</si>
  <si>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</si>
  <si>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</si>
  <si>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</si>
  <si>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</si>
  <si>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</si>
  <si>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</si>
  <si>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</si>
  <si>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</si>
  <si>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</si>
  <si>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</si>
  <si>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</si>
  <si>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</si>
  <si>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</si>
  <si>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</si>
  <si>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</si>
  <si>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</si>
  <si>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</si>
  <si>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</si>
  <si>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</si>
  <si>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</si>
  <si>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</si>
  <si>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</si>
  <si>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</si>
  <si>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</si>
  <si>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</si>
  <si>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</si>
  <si>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</si>
  <si>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</si>
  <si>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</si>
  <si>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</si>
  <si>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</si>
  <si>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</si>
  <si>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</si>
  <si>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</si>
  <si>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</si>
  <si>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</si>
  <si>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</si>
  <si>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</si>
  <si>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</si>
  <si>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</si>
  <si>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</si>
  <si>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</si>
  <si>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</si>
  <si>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</si>
  <si>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</si>
  <si>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</si>
  <si>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</si>
  <si>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</si>
  <si>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</si>
  <si>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</si>
  <si>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</si>
  <si>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</si>
  <si>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</si>
  <si>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</si>
  <si>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</si>
  <si>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</si>
  <si>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</si>
  <si>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</si>
  <si>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</si>
  <si>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</si>
  <si>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</si>
  <si>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</si>
  <si>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</si>
  <si>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</si>
  <si>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</si>
  <si>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</si>
  <si>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</si>
  <si>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</si>
  <si>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</si>
  <si>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</si>
  <si>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</si>
  <si>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</si>
  <si>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</si>
  <si>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</si>
  <si>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</si>
  <si>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</si>
  <si>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</si>
  <si>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</si>
  <si>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</si>
  <si>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</si>
  <si>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</si>
  <si>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</si>
  <si>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</si>
  <si>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</si>
  <si>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</si>
  <si>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</si>
  <si>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</si>
  <si>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</si>
  <si>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</si>
  <si>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</si>
  <si>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</si>
  <si>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</si>
  <si>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</si>
  <si>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</si>
  <si>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</si>
  <si>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</si>
  <si>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</si>
  <si>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</si>
  <si>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</si>
  <si>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</si>
  <si>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</si>
  <si>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</si>
  <si>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</si>
  <si>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</si>
  <si>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</si>
  <si>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</si>
  <si>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</si>
  <si>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</si>
  <si>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</si>
  <si>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</si>
  <si>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</si>
  <si>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</si>
  <si>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</si>
  <si>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</si>
  <si>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</si>
  <si>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</si>
  <si>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</si>
  <si>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</si>
  <si>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</si>
  <si>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</si>
  <si>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</si>
  <si>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</si>
  <si>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</si>
  <si>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</si>
  <si>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</si>
  <si>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</si>
  <si>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</si>
  <si>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</si>
  <si>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</si>
  <si>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</si>
  <si>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</si>
  <si>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</si>
  <si>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</si>
  <si>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</si>
  <si>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</si>
  <si>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</si>
  <si>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</si>
  <si>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</si>
  <si>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</si>
  <si>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</si>
  <si>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</si>
  <si>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</si>
  <si>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</si>
  <si>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</si>
  <si>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</si>
  <si>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</si>
  <si>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</si>
  <si>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</si>
  <si>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</si>
  <si>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</si>
  <si>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</si>
  <si>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</si>
  <si>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</si>
  <si>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</si>
  <si>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</si>
  <si>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</si>
  <si>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</si>
  <si>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</si>
  <si>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</si>
  <si>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</si>
  <si>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</si>
  <si>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</si>
  <si>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</si>
  <si>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</si>
  <si>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</si>
  <si>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</si>
  <si>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</si>
  <si>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</si>
  <si>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</si>
  <si>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</si>
  <si>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</si>
  <si>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</si>
  <si>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</si>
  <si>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</si>
  <si>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</si>
  <si>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</si>
  <si>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</si>
  <si>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</si>
  <si>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</si>
  <si>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</si>
  <si>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</si>
  <si>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</si>
  <si>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</si>
  <si>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</si>
  <si>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</si>
  <si>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</si>
  <si>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</si>
  <si>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</si>
  <si>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</si>
  <si>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</si>
  <si>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</si>
  <si>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</si>
  <si>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</si>
  <si>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</si>
  <si>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</si>
  <si>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</si>
  <si>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</si>
  <si>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</si>
  <si>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</si>
  <si>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</si>
  <si>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</si>
  <si>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</si>
  <si>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</si>
  <si>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</si>
  <si>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</si>
  <si>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</si>
  <si>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</si>
  <si>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</si>
  <si>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</si>
  <si>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</si>
  <si>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</si>
  <si>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</si>
  <si>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</si>
  <si>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</si>
  <si>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</si>
  <si>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</si>
  <si>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</si>
  <si>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</si>
  <si>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</si>
  <si>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</si>
  <si>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</si>
  <si>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</si>
  <si>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</si>
  <si>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</si>
  <si>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</si>
  <si>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</si>
  <si>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</si>
  <si>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</si>
  <si>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</si>
  <si>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</si>
  <si>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</si>
  <si>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</si>
  <si>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</si>
  <si>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</si>
  <si>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</si>
  <si>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</si>
  <si>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</si>
  <si>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</si>
  <si>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</si>
  <si>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</si>
  <si>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</si>
  <si>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</si>
  <si>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</si>
  <si>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</si>
  <si>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</si>
  <si>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</si>
  <si>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</si>
  <si>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</si>
  <si>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</si>
  <si>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</si>
  <si>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</si>
  <si>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</si>
  <si>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</si>
  <si>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</si>
  <si>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</si>
  <si>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</si>
  <si>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</si>
  <si>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</si>
  <si>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</si>
  <si>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</si>
  <si>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</si>
  <si>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</si>
  <si>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</si>
  <si>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</si>
  <si>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</si>
  <si>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</si>
  <si>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</si>
  <si>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</si>
  <si>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</si>
  <si>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</si>
  <si>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</si>
  <si>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</si>
  <si>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</si>
  <si>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</si>
  <si>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</si>
  <si>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</si>
  <si>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</si>
  <si>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</si>
  <si>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</si>
  <si>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</si>
  <si>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</si>
  <si>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</si>
  <si>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</si>
  <si>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</si>
  <si>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</si>
  <si>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</si>
  <si>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</si>
  <si>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</si>
  <si>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</si>
  <si>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</si>
  <si>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</si>
  <si>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</si>
  <si>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</si>
  <si>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</si>
  <si>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</si>
  <si>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</si>
  <si>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</si>
  <si>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</si>
  <si>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</si>
  <si>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</si>
  <si>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</si>
  <si>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</si>
  <si>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</si>
  <si>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</si>
  <si>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</si>
  <si>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</si>
  <si>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</si>
  <si>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</si>
  <si>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</si>
  <si>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</si>
  <si>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</si>
  <si>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</si>
  <si>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</si>
  <si>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</si>
  <si>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</si>
  <si>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</si>
  <si>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</si>
  <si>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</si>
  <si>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</si>
  <si>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</si>
  <si>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</si>
  <si>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</si>
  <si>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</si>
  <si>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</si>
  <si>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</si>
  <si>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</si>
  <si>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</si>
  <si>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</si>
  <si>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</si>
  <si>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</si>
  <si>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</si>
  <si>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</si>
  <si>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</si>
  <si>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</si>
  <si>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</si>
  <si>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</si>
  <si>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</si>
  <si>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</si>
  <si>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</si>
  <si>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</si>
  <si>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</si>
  <si>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</si>
  <si>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</si>
  <si>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</si>
  <si>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</si>
  <si>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</si>
  <si>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</si>
  <si>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</si>
  <si>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</si>
  <si>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</si>
  <si>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</si>
  <si>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</si>
  <si>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</si>
  <si>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</si>
  <si>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</si>
  <si>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</si>
  <si>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</si>
  <si>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</si>
  <si>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</si>
  <si>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</si>
  <si>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</si>
  <si>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</si>
  <si>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</si>
  <si>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</si>
  <si>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</si>
  <si>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</si>
  <si>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</si>
  <si>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</si>
  <si>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</si>
  <si>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</si>
  <si>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</si>
  <si>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</si>
  <si>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</si>
  <si>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</si>
  <si>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</si>
  <si>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</si>
  <si>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</si>
  <si>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</si>
  <si>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</si>
  <si>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</si>
  <si>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</si>
  <si>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</si>
  <si>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</si>
  <si>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</si>
  <si>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</si>
  <si>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</si>
  <si>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</si>
  <si>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</si>
  <si>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</si>
  <si>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</si>
  <si>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</si>
  <si>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</si>
  <si>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</si>
  <si>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</si>
  <si>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</si>
  <si>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</si>
  <si>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</si>
  <si>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</si>
  <si>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</si>
  <si>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</si>
  <si>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</si>
  <si>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</si>
  <si>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</si>
  <si>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</si>
  <si>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</si>
  <si>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</si>
  <si>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</si>
  <si>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</si>
  <si>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</si>
  <si>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</si>
  <si>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</si>
  <si>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</si>
  <si>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</si>
  <si>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</si>
  <si>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</si>
  <si>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</si>
  <si>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</si>
  <si>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</si>
  <si>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</si>
  <si>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</si>
  <si>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</si>
  <si>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</si>
  <si>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</si>
  <si>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</si>
  <si>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</si>
  <si>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</si>
  <si>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</si>
  <si>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</si>
  <si>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</si>
  <si>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</si>
  <si>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</si>
  <si>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</si>
  <si>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</si>
  <si>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</si>
  <si>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</si>
  <si>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</si>
  <si>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</si>
  <si>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</si>
  <si>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</si>
  <si>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</si>
  <si>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</si>
  <si>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</si>
  <si>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</si>
  <si>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</si>
  <si>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</si>
  <si>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</si>
  <si>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</si>
  <si>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</si>
  <si>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</si>
  <si>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</si>
  <si>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</si>
  <si>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</si>
  <si>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</si>
  <si>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</si>
  <si>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</si>
  <si>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</si>
  <si>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</si>
  <si>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</si>
  <si>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</si>
  <si>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</si>
  <si>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</si>
  <si>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</si>
  <si>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</si>
  <si>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</si>
  <si>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</si>
  <si>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</si>
  <si>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</si>
  <si>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</si>
  <si>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</si>
  <si>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</si>
  <si>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</si>
  <si>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</si>
  <si>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</si>
  <si>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</si>
  <si>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</si>
  <si>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</si>
  <si>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</si>
  <si>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</si>
  <si>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</si>
  <si>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</si>
  <si>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</si>
  <si>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</si>
  <si>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</si>
  <si>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</si>
  <si>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</si>
  <si>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</si>
  <si>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</si>
  <si>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</si>
  <si>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</si>
  <si>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</si>
  <si>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</si>
  <si>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</si>
  <si>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</si>
  <si>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</si>
  <si>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</si>
  <si>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</si>
  <si>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</si>
  <si>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</si>
  <si>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</si>
  <si>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</si>
  <si>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</si>
  <si>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</si>
  <si>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</si>
  <si>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</si>
  <si>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</si>
  <si>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</si>
  <si>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</si>
  <si>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</si>
  <si>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</si>
  <si>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</si>
  <si>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</si>
  <si>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</si>
  <si>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</si>
  <si>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</si>
  <si>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</si>
  <si>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</si>
  <si>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</si>
  <si>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</si>
  <si>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</si>
  <si>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</si>
  <si>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</si>
  <si>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</si>
  <si>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</si>
  <si>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</si>
  <si>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</si>
  <si>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</si>
  <si>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</si>
  <si>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</si>
  <si>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</si>
  <si>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</si>
  <si>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</si>
  <si>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</si>
  <si>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</si>
  <si>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</si>
  <si>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</si>
  <si>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</si>
  <si>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</si>
  <si>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</si>
  <si>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</si>
  <si>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</si>
  <si>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</si>
  <si>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</si>
  <si>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</si>
  <si>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</si>
  <si>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</si>
  <si>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</si>
  <si>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</si>
  <si>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</si>
  <si>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</si>
  <si>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</si>
  <si>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</si>
  <si>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</si>
  <si>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</si>
  <si>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</si>
  <si>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</si>
  <si>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</si>
  <si>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</si>
  <si>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</si>
  <si>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</si>
  <si>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</si>
  <si>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</si>
  <si>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</si>
  <si>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</si>
  <si>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</si>
  <si>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</si>
  <si>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</si>
  <si>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</si>
  <si>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</si>
  <si>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</si>
  <si>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</si>
  <si>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</si>
  <si>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</si>
  <si>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</si>
  <si>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</si>
  <si>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</si>
  <si>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</si>
  <si>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</si>
  <si>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</si>
  <si>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</si>
  <si>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</si>
  <si>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</si>
  <si>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</si>
  <si>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</si>
  <si>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</si>
  <si>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</si>
  <si>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</si>
  <si>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</si>
  <si>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</si>
  <si>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</si>
  <si>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</si>
  <si>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</si>
  <si>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</si>
  <si>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</si>
  <si>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</si>
  <si>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</si>
  <si>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</si>
  <si>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</si>
  <si>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</si>
  <si>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</si>
  <si>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</si>
  <si>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</si>
  <si>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</si>
  <si>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</si>
  <si>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</si>
  <si>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</si>
  <si>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</si>
  <si>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</si>
  <si>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</si>
  <si>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</si>
  <si>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</si>
  <si>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</si>
  <si>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</si>
  <si>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</si>
  <si>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</si>
  <si>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</si>
  <si>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</si>
  <si>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</si>
  <si>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</si>
  <si>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</si>
  <si>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</si>
  <si>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</si>
  <si>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</si>
  <si>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</si>
  <si>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</si>
  <si>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</si>
  <si>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</si>
  <si>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</si>
  <si>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</si>
  <si>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</si>
  <si>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</si>
  <si>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</si>
  <si>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</si>
  <si>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</si>
  <si>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</si>
  <si>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</si>
  <si>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</si>
  <si>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</si>
  <si>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</si>
  <si>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</si>
  <si>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</si>
  <si>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</si>
  <si>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</si>
  <si>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</si>
  <si>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</si>
  <si>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</si>
  <si>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</si>
  <si>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</si>
  <si>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</si>
  <si>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</si>
  <si>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</si>
  <si>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</si>
  <si>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</si>
  <si>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</si>
  <si>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</si>
  <si>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</si>
  <si>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</si>
  <si>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</si>
  <si>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</si>
  <si>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</si>
  <si>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</si>
  <si>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</si>
  <si>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</si>
  <si>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</si>
  <si>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</si>
  <si>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</si>
  <si>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</si>
  <si>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</si>
  <si>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</si>
  <si>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</si>
  <si>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</si>
  <si>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</si>
  <si>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</si>
  <si>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</si>
  <si>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</si>
  <si>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</si>
  <si>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</si>
  <si>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</si>
  <si>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</si>
  <si>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</si>
  <si>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</si>
  <si>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</si>
  <si>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</si>
  <si>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</si>
  <si>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</si>
  <si>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</si>
  <si>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</si>
  <si>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</si>
  <si>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</si>
  <si>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</si>
  <si>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</si>
  <si>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</si>
  <si>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</si>
  <si>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</si>
  <si>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</si>
  <si>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</si>
  <si>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</si>
  <si>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</si>
  <si>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</si>
  <si>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</si>
  <si>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</si>
  <si>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</si>
  <si>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</si>
  <si>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</si>
  <si>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</si>
  <si>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</si>
  <si>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</si>
  <si>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</si>
  <si>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</si>
  <si>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</si>
  <si>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</si>
  <si>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</si>
  <si>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</si>
  <si>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</si>
  <si>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</si>
  <si>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</si>
  <si>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</si>
  <si>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</si>
  <si>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</si>
  <si>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</si>
  <si>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</si>
  <si>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</si>
  <si>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</si>
  <si>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</si>
  <si>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</si>
  <si>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</si>
  <si>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</si>
  <si>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</si>
  <si>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</si>
  <si>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</si>
  <si>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</si>
  <si>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</si>
  <si>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</si>
  <si>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</si>
  <si>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</si>
  <si>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</si>
  <si>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</si>
  <si>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</si>
  <si>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</si>
  <si>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</si>
  <si>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</si>
  <si>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</si>
  <si>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</si>
  <si>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</si>
  <si>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</si>
  <si>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</si>
  <si>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</si>
  <si>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</si>
  <si>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</si>
  <si>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</si>
  <si>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</si>
  <si>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</si>
  <si>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</si>
  <si>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</si>
  <si>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</si>
  <si>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</si>
  <si>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</si>
  <si>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</si>
  <si>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</si>
  <si>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</si>
  <si>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</si>
  <si>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</si>
  <si>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</si>
  <si>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</si>
  <si>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</si>
  <si>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</si>
  <si>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</si>
  <si>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</si>
  <si>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</si>
  <si>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</si>
  <si>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</si>
  <si>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</si>
  <si>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</si>
  <si>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</si>
  <si>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</si>
  <si>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</si>
  <si>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</si>
  <si>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</si>
  <si>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</si>
  <si>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</si>
  <si>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</si>
  <si>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</si>
  <si>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</si>
  <si>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</si>
  <si>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</si>
  <si>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</si>
  <si>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</si>
  <si>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</si>
  <si>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</si>
  <si>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</si>
  <si>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</si>
  <si>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</si>
  <si>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</si>
  <si>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</si>
  <si>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</si>
  <si>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</si>
  <si>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</si>
  <si>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</si>
  <si>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</si>
  <si>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</si>
  <si>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</si>
  <si>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</si>
  <si>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</si>
  <si>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</si>
  <si>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</si>
  <si>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</si>
  <si>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</si>
  <si>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</si>
  <si>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</si>
  <si>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</si>
  <si>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</si>
  <si>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</si>
  <si>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</si>
  <si>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</si>
  <si>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</si>
  <si>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</si>
  <si>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</si>
  <si>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</si>
  <si>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</si>
  <si>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</si>
  <si>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</si>
  <si>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</si>
  <si>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</si>
  <si>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</si>
  <si>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</si>
  <si>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</si>
  <si>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</si>
  <si>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</si>
  <si>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</si>
  <si>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</si>
  <si>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</si>
  <si>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</si>
  <si>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</si>
  <si>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</si>
  <si>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</si>
  <si>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</si>
  <si>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</si>
  <si>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</si>
  <si>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</si>
  <si>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</si>
  <si>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</si>
  <si>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</si>
  <si>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</si>
  <si>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</si>
  <si>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</si>
  <si>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</si>
  <si>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</si>
  <si>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</si>
  <si>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</si>
  <si>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</si>
  <si>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</si>
  <si>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</si>
  <si>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</si>
  <si>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</si>
  <si>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</si>
  <si>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</si>
  <si>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</si>
  <si>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</si>
  <si>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</si>
  <si>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</si>
  <si>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</si>
  <si>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</si>
  <si>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</si>
  <si>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</si>
  <si>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</si>
  <si>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</si>
  <si>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</si>
  <si>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</si>
  <si>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</si>
  <si>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</si>
  <si>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</si>
  <si>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</si>
  <si>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</si>
  <si>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</si>
  <si>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</si>
  <si>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</si>
  <si>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</si>
  <si>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</si>
  <si>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</si>
  <si>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</si>
  <si>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</si>
  <si>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</si>
  <si>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</si>
  <si>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</si>
  <si>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</si>
  <si>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</si>
  <si>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</si>
  <si>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</si>
  <si>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</si>
  <si>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</si>
  <si>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</si>
  <si>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</si>
  <si>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</si>
  <si>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</si>
  <si>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</si>
  <si>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</si>
  <si>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</si>
  <si>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</si>
  <si>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</si>
  <si>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</si>
  <si>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</si>
  <si>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</si>
  <si>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</si>
  <si>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</si>
  <si>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</si>
  <si>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</si>
  <si>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</si>
  <si>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</si>
  <si>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</si>
  <si>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</si>
  <si>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</si>
  <si>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</si>
  <si>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</si>
  <si>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</si>
  <si>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</si>
  <si>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</si>
  <si>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</si>
  <si>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</si>
  <si>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</si>
  <si>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</si>
  <si>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</si>
  <si>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</si>
  <si>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</si>
  <si>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</si>
  <si>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</si>
  <si>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</si>
  <si>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</si>
  <si>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</si>
  <si>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</si>
  <si>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</si>
  <si>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</si>
  <si>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</si>
  <si>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</si>
  <si>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</si>
  <si>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</si>
  <si>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</si>
  <si>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</si>
  <si>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</si>
  <si>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</si>
  <si>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</si>
  <si>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</si>
  <si>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</si>
  <si>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</si>
  <si>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</si>
  <si>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</si>
  <si>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</si>
  <si>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</si>
  <si>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</si>
  <si>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</si>
  <si>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</si>
  <si>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</si>
  <si>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</si>
  <si>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</si>
  <si>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</si>
  <si>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</si>
  <si>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</si>
  <si>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</si>
  <si>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</si>
  <si>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</si>
  <si>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</si>
  <si>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</si>
  <si>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</si>
  <si>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</si>
  <si>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</si>
  <si>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</si>
  <si>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</si>
  <si>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</si>
  <si>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</si>
  <si>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</si>
  <si>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</si>
  <si>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</si>
  <si>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</si>
  <si>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</si>
  <si>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</si>
  <si>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</si>
  <si>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</si>
  <si>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</si>
  <si>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</si>
  <si>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</si>
  <si>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</si>
  <si>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</si>
  <si>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</si>
  <si>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</si>
  <si>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</si>
  <si>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</si>
  <si>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</si>
  <si>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</si>
  <si>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</si>
  <si>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</si>
  <si>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</si>
  <si>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</si>
  <si>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</si>
  <si>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</si>
  <si>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</si>
  <si>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</si>
  <si>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</si>
  <si>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</si>
  <si>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</si>
  <si>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</si>
  <si>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</si>
  <si>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</si>
  <si>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</si>
  <si>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</si>
  <si>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</si>
  <si>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</si>
  <si>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</si>
  <si>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</si>
  <si>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</si>
  <si>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</si>
  <si>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</si>
  <si>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</si>
  <si>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</si>
  <si>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</si>
  <si>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</si>
  <si>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</si>
  <si>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</si>
  <si>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</si>
  <si>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</si>
  <si>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</si>
  <si>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</si>
  <si>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</si>
  <si>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</si>
  <si>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</si>
  <si>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</si>
  <si>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</si>
  <si>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</si>
  <si>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</si>
  <si>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</si>
  <si>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</si>
  <si>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</si>
  <si>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</si>
  <si>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</si>
  <si>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</si>
  <si>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</si>
  <si>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</si>
  <si>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</si>
  <si>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</si>
  <si>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</si>
  <si>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</si>
  <si>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</si>
  <si>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</si>
  <si>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</si>
  <si>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</si>
  <si>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</si>
  <si>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</si>
  <si>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</si>
  <si>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</si>
  <si>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</si>
  <si>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</si>
  <si>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</si>
  <si>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</si>
  <si>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</si>
  <si>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</si>
  <si>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</si>
  <si>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</si>
  <si>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</si>
  <si>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</si>
  <si>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</si>
  <si>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</si>
  <si>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</si>
  <si>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</si>
  <si>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</si>
  <si>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</si>
  <si>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</si>
  <si>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</si>
  <si>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</si>
  <si>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</si>
  <si>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</si>
  <si>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</si>
  <si>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</si>
  <si>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</si>
  <si>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</si>
  <si>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</si>
  <si>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</si>
  <si>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</si>
  <si>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</si>
  <si>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</si>
  <si>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</si>
  <si>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</si>
  <si>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</si>
  <si>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</si>
  <si>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</si>
  <si>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</si>
  <si>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</si>
  <si>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</si>
  <si>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</si>
  <si>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</si>
  <si>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</si>
  <si>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</si>
  <si>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</si>
  <si>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</si>
  <si>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</si>
  <si>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</si>
  <si>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</si>
  <si>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</si>
  <si>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</si>
  <si>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</si>
  <si>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</si>
  <si>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</si>
  <si>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</si>
  <si>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</si>
  <si>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</si>
  <si>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</si>
  <si>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</si>
  <si>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</si>
  <si>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</si>
  <si>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</si>
  <si>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</si>
  <si>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</si>
  <si>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</si>
  <si>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</si>
  <si>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</si>
  <si>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</si>
  <si>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</si>
  <si>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</si>
  <si>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</si>
  <si>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</si>
  <si>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</si>
  <si>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</si>
  <si>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</si>
  <si>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</si>
  <si>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</si>
  <si>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</si>
  <si>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</si>
  <si>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</si>
  <si>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</si>
  <si>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</si>
  <si>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</si>
  <si>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</si>
  <si>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</si>
  <si>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</si>
  <si>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</si>
  <si>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</si>
  <si>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</si>
  <si>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</si>
  <si>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</si>
  <si>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</si>
  <si>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</si>
  <si>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</si>
  <si>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</si>
  <si>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</si>
  <si>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</si>
  <si>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</si>
  <si>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</si>
  <si>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</si>
  <si>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</si>
  <si>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</si>
  <si>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</si>
  <si>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</si>
  <si>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</si>
  <si>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</si>
  <si>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</si>
  <si>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</si>
  <si>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</si>
  <si>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</si>
  <si>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</si>
  <si>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</si>
  <si>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</si>
  <si>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</si>
  <si>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</si>
  <si>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</si>
  <si>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</si>
  <si>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</si>
  <si>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</si>
  <si>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</si>
  <si>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</si>
  <si>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</si>
  <si>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</si>
  <si>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</si>
  <si>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</si>
  <si>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</si>
  <si>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</si>
  <si>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</si>
  <si>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</si>
  <si>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</si>
  <si>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</si>
  <si>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</si>
  <si>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</si>
  <si>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</si>
  <si>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</si>
  <si>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</si>
  <si>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</si>
  <si>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</si>
  <si>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</si>
  <si>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</si>
  <si>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</si>
  <si>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</si>
  <si>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</si>
  <si>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</si>
  <si>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</si>
  <si>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</si>
  <si>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</si>
  <si>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</si>
  <si>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</si>
  <si>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</si>
  <si>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</si>
  <si>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</si>
  <si>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</si>
  <si>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</si>
  <si>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</si>
  <si>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</si>
  <si>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</si>
  <si>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</si>
  <si>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</si>
  <si>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</si>
  <si>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</si>
  <si>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</si>
  <si>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</si>
  <si>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</si>
  <si>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</si>
  <si>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</si>
  <si>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</si>
  <si>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</si>
  <si>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</si>
  <si>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</si>
  <si>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</si>
  <si>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</si>
  <si>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</si>
  <si>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</si>
  <si>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</si>
  <si>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</si>
  <si>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</si>
  <si>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</si>
  <si>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</si>
  <si>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</si>
  <si>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</si>
  <si>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</si>
  <si>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</si>
  <si>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</si>
  <si>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</si>
  <si>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</si>
  <si>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</si>
  <si>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</si>
  <si>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</si>
  <si>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</si>
  <si>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</si>
  <si>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</si>
  <si>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</si>
  <si>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</si>
  <si>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</si>
  <si>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</si>
  <si>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</si>
  <si>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</si>
  <si>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</si>
  <si>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</si>
  <si>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</si>
  <si>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</si>
  <si>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</si>
  <si>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</si>
  <si>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</si>
  <si>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</si>
  <si>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</si>
  <si>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</si>
  <si>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</si>
  <si>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</si>
  <si>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</si>
  <si>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</si>
  <si>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</si>
  <si>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</si>
  <si>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</si>
  <si>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</si>
  <si>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</si>
  <si>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</si>
  <si>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</si>
  <si>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</si>
  <si>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</si>
  <si>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</si>
  <si>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</si>
  <si>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</si>
  <si>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</si>
  <si>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</si>
  <si>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</si>
  <si>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</si>
  <si>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</si>
  <si>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</si>
  <si>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</si>
  <si>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</si>
  <si>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</si>
  <si>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</si>
  <si>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</si>
  <si>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</si>
  <si>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</si>
  <si>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</si>
  <si>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</si>
  <si>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</si>
  <si>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</si>
  <si>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</si>
  <si>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</si>
  <si>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</si>
  <si>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</si>
  <si>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</si>
  <si>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</si>
  <si>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</si>
  <si>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</si>
  <si>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</si>
  <si>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</si>
  <si>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</si>
  <si>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</si>
  <si>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</si>
  <si>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</si>
  <si>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</si>
  <si>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</si>
  <si>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</si>
  <si>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</si>
  <si>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</si>
  <si>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</si>
  <si>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</si>
  <si>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</si>
  <si>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</si>
  <si>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</si>
  <si>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</si>
  <si>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</si>
  <si>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</si>
  <si>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</si>
  <si>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</si>
  <si>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</si>
  <si>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</si>
  <si>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</si>
  <si>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</si>
  <si>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</si>
  <si>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</si>
  <si>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</si>
  <si>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</si>
  <si>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</si>
  <si>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</si>
  <si>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</si>
  <si>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</si>
  <si>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</si>
  <si>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</si>
  <si>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</si>
  <si>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</si>
  <si>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</si>
  <si>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</si>
  <si>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</si>
  <si>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</si>
  <si>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</si>
  <si>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</si>
  <si>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</si>
  <si>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</si>
  <si>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</si>
  <si>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</si>
  <si>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</si>
  <si>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</si>
  <si>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</si>
  <si>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</si>
  <si>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</si>
  <si>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</si>
  <si>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</si>
  <si>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</si>
  <si>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</si>
  <si>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</si>
  <si>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</si>
  <si>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</si>
  <si>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</si>
  <si>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</si>
  <si>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</si>
  <si>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</si>
  <si>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</si>
  <si>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</si>
  <si>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</si>
  <si>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</si>
  <si>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</si>
  <si>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</si>
  <si>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</si>
  <si>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</si>
  <si>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</si>
  <si>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</si>
  <si>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</si>
  <si>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</si>
  <si>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</si>
  <si>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</si>
  <si>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</si>
  <si>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</si>
  <si>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</si>
  <si>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</si>
  <si>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</si>
  <si>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</si>
  <si>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</si>
  <si>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</si>
  <si>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</si>
  <si>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</si>
  <si>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</si>
  <si>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</si>
  <si>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</si>
  <si>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</si>
  <si>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</si>
  <si>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</si>
  <si>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</si>
  <si>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</si>
  <si>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</si>
  <si>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</si>
  <si>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</si>
  <si>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</si>
  <si>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</si>
  <si>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</si>
  <si>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</si>
  <si>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</si>
  <si>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</si>
  <si>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</si>
  <si>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</si>
  <si>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</si>
  <si>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</si>
  <si>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</si>
  <si>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</si>
  <si>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</si>
  <si>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</si>
  <si>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</si>
  <si>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</si>
  <si>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</si>
  <si>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</si>
  <si>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</si>
  <si>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</si>
  <si>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</si>
  <si>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</si>
  <si>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</si>
  <si>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</si>
  <si>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</si>
  <si>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</si>
  <si>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</si>
  <si>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</si>
  <si>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</si>
  <si>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</si>
  <si>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</si>
  <si>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</si>
  <si>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</si>
  <si>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</si>
  <si>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</si>
  <si>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</si>
  <si>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</si>
  <si>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</si>
  <si>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</si>
  <si>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</si>
  <si>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</si>
  <si>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</si>
  <si>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</si>
  <si>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</si>
  <si>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</si>
  <si>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</si>
  <si>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</si>
  <si>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</si>
  <si>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</si>
  <si>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</si>
  <si>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</si>
  <si>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</si>
  <si>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</si>
  <si>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</si>
  <si>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</si>
  <si>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</si>
  <si>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</si>
  <si>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</si>
  <si>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</si>
  <si>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</si>
  <si>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</si>
  <si>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</si>
  <si>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</si>
  <si>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</si>
  <si>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</si>
  <si>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</si>
  <si>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</si>
  <si>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</si>
  <si>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</si>
  <si>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</si>
  <si>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</si>
  <si>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</si>
  <si>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</si>
  <si>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</si>
  <si>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</si>
  <si>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</si>
  <si>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</si>
  <si>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</si>
  <si>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</si>
  <si>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</si>
  <si>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</si>
  <si>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</si>
  <si>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</si>
  <si>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</si>
  <si>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</si>
  <si>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</si>
  <si>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</si>
  <si>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</si>
  <si>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</si>
  <si>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</si>
  <si>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</si>
  <si>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</si>
  <si>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</si>
  <si>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</si>
  <si>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</si>
  <si>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</si>
  <si>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</si>
  <si>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</si>
  <si>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</si>
  <si>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</si>
  <si>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</si>
  <si>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</si>
  <si>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</si>
  <si>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</si>
  <si>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</si>
  <si>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</si>
  <si>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</si>
  <si>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</si>
  <si>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</si>
  <si>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</si>
  <si>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</si>
  <si>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</si>
  <si>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</si>
  <si>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</si>
  <si>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</si>
  <si>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</si>
  <si>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</si>
  <si>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</si>
  <si>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</si>
  <si>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</si>
  <si>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</si>
  <si>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</si>
  <si>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</si>
  <si>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</si>
  <si>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</si>
  <si>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</si>
  <si>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</si>
  <si>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</si>
  <si>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</si>
  <si>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</si>
  <si>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</si>
  <si>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</si>
  <si>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</si>
  <si>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</si>
  <si>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</si>
  <si>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</si>
  <si>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</si>
  <si>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</si>
  <si>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</si>
  <si>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</si>
  <si>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</si>
  <si>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</si>
  <si>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</si>
  <si>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</si>
  <si>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</si>
  <si>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</si>
  <si>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</si>
  <si>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</si>
  <si>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</si>
  <si>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</si>
  <si>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</si>
  <si>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</si>
  <si>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</si>
  <si>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</si>
  <si>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</si>
  <si>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</si>
  <si>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</si>
  <si>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</si>
  <si>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</si>
  <si>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</si>
  <si>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</si>
  <si>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</si>
  <si>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</si>
  <si>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</si>
  <si>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</si>
  <si>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</si>
  <si>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</si>
  <si>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</si>
  <si>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</si>
  <si>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</si>
  <si>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</si>
  <si>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</si>
  <si>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</si>
  <si>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</si>
  <si>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</si>
  <si>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</si>
  <si>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</si>
  <si>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</si>
  <si>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</si>
  <si>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</si>
  <si>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</si>
  <si>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</si>
  <si>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</si>
  <si>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</si>
  <si>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</si>
  <si>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</si>
  <si>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</si>
  <si>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</si>
  <si>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</si>
  <si>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</si>
  <si>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</si>
  <si>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</si>
  <si>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</si>
  <si>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</si>
  <si>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</si>
  <si>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</si>
  <si>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</si>
  <si>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</si>
  <si>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</si>
  <si>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</si>
  <si>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</si>
  <si>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</si>
  <si>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</si>
  <si>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</si>
  <si>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</si>
  <si>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</si>
  <si>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</si>
  <si>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</si>
  <si>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</si>
  <si>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</si>
  <si>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</si>
  <si>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</si>
  <si>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</si>
  <si>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</si>
  <si>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</si>
  <si>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</si>
  <si>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</si>
  <si>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</si>
  <si>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</si>
  <si>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</si>
  <si>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</si>
  <si>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</si>
  <si>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</si>
  <si>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</si>
  <si>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</si>
  <si>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</si>
  <si>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</si>
  <si>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</si>
  <si>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</si>
  <si>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</si>
  <si>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</si>
  <si>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</si>
  <si>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</si>
  <si>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</si>
  <si>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</si>
  <si>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</si>
  <si>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</si>
  <si>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</si>
  <si>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</si>
  <si>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</si>
  <si>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</si>
  <si>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</si>
  <si>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</si>
  <si>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</si>
  <si>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</si>
  <si>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</si>
  <si>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</si>
  <si>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</si>
  <si>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</si>
  <si>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</si>
  <si>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</si>
  <si>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</si>
  <si>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</si>
  <si>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</si>
  <si>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</si>
  <si>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</si>
  <si>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</si>
  <si>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</si>
  <si>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</si>
  <si>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</si>
  <si>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</si>
  <si>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</si>
  <si>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</si>
  <si>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</si>
  <si>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</si>
  <si>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</si>
  <si>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</si>
  <si>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</si>
  <si>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</si>
  <si>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</si>
  <si>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</si>
  <si>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</si>
  <si>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</si>
  <si>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</si>
  <si>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</si>
  <si>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</si>
  <si>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</si>
  <si>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</si>
  <si>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</si>
  <si>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</si>
  <si>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</si>
  <si>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</si>
  <si>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</si>
  <si>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</si>
  <si>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</si>
  <si>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</si>
  <si>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</si>
  <si>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</si>
  <si>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</si>
  <si>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</si>
  <si>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</si>
  <si>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</si>
  <si>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</si>
  <si>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</si>
  <si>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</si>
  <si>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</si>
  <si>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</si>
  <si>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</si>
  <si>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</si>
  <si>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</si>
  <si>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</si>
  <si>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</si>
  <si>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</si>
  <si>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</si>
  <si>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</si>
  <si>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</si>
  <si>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</si>
  <si>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</si>
  <si>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</si>
  <si>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</si>
  <si>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</si>
  <si>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</si>
  <si>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</si>
  <si>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</si>
  <si>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</si>
  <si>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</si>
  <si>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</si>
  <si>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</si>
  <si>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</si>
  <si>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</si>
  <si>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</si>
  <si>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</si>
  <si>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</si>
  <si>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</si>
  <si>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</si>
  <si>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</si>
  <si>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</si>
  <si>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</si>
  <si>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</si>
  <si>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</si>
  <si>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</si>
  <si>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</si>
  <si>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</si>
  <si>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</si>
  <si>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</si>
  <si>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</si>
  <si>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</si>
  <si>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</si>
  <si>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</si>
  <si>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</si>
  <si>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</si>
  <si>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</si>
  <si>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</si>
  <si>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</si>
  <si>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</si>
  <si>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</si>
  <si>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</si>
  <si>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</si>
  <si>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</si>
  <si>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</si>
  <si>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</si>
  <si>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</si>
  <si>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</si>
  <si>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</si>
  <si>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</si>
  <si>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</si>
  <si>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</si>
  <si>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</si>
  <si>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</si>
  <si>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</si>
  <si>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</si>
  <si>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</si>
  <si>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</si>
  <si>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</si>
  <si>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</si>
  <si>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</si>
  <si>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</si>
  <si>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</si>
  <si>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</si>
  <si>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</si>
  <si>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</si>
  <si>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</si>
  <si>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</si>
  <si>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</si>
  <si>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</si>
  <si>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</si>
  <si>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</si>
  <si>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</si>
  <si>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</si>
  <si>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</si>
  <si>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</si>
  <si>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</si>
  <si>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</si>
  <si>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</si>
  <si>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</si>
  <si>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</si>
  <si>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</si>
  <si>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</si>
  <si>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</si>
  <si>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</si>
  <si>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</si>
  <si>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</si>
  <si>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</si>
  <si>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</si>
  <si>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</si>
  <si>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</si>
  <si>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</si>
  <si>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</si>
  <si>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</si>
  <si>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</si>
  <si>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</si>
  <si>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</si>
  <si>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</si>
  <si>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</si>
  <si>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</si>
  <si>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</si>
  <si>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</si>
  <si>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</si>
  <si>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</si>
  <si>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</si>
  <si>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</si>
  <si>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</si>
  <si>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</si>
  <si>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</si>
  <si>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</si>
  <si>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</si>
  <si>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</si>
  <si>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</si>
  <si>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</si>
  <si>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</si>
  <si>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</si>
  <si>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</si>
  <si>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</si>
  <si>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</si>
  <si>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</si>
  <si>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</si>
  <si>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</si>
  <si>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</si>
  <si>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</si>
  <si>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</si>
  <si>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</si>
  <si>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</si>
  <si>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</si>
  <si>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</si>
  <si>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</si>
  <si>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</si>
  <si>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</si>
  <si>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</si>
  <si>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</si>
  <si>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</si>
  <si>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</si>
  <si>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</si>
  <si>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</si>
  <si>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</si>
  <si>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</si>
  <si>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</si>
  <si>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</si>
  <si>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</si>
  <si>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</si>
  <si>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</si>
  <si>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</si>
  <si>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</si>
  <si>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</si>
  <si>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</si>
  <si>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</si>
  <si>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</si>
  <si>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</si>
  <si>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</si>
  <si>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</si>
  <si>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</si>
  <si>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</si>
  <si>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</si>
  <si>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</si>
  <si>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</si>
  <si>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</si>
  <si>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</si>
  <si>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</si>
  <si>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</si>
  <si>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</si>
  <si>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</si>
  <si>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</si>
  <si>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</si>
  <si>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</si>
  <si>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</si>
  <si>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</si>
  <si>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</si>
  <si>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</si>
  <si>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</si>
  <si>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</si>
  <si>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</si>
  <si>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</si>
  <si>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</si>
  <si>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</si>
  <si>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</si>
  <si>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</si>
  <si>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</si>
  <si>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</si>
  <si>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</si>
  <si>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</si>
  <si>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</si>
  <si>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</si>
  <si>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</si>
  <si>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</si>
  <si>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</si>
  <si>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</si>
  <si>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</si>
  <si>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</si>
  <si>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</si>
  <si>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</si>
  <si>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</si>
  <si>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</si>
  <si>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</si>
  <si>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</si>
  <si>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</si>
  <si>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</si>
  <si>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</si>
  <si>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</si>
  <si>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</si>
  <si>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</si>
  <si>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</si>
  <si>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</si>
  <si>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</si>
  <si>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</si>
  <si>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</si>
  <si>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</si>
  <si>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</si>
  <si>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</si>
  <si>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</si>
  <si>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</si>
  <si>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</si>
  <si>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</si>
  <si>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</si>
  <si>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</si>
  <si>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</si>
  <si>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</si>
  <si>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</si>
  <si>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</si>
  <si>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</si>
  <si>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</si>
  <si>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</si>
  <si>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</si>
  <si>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</si>
  <si>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</si>
  <si>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</si>
  <si>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</si>
  <si>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</si>
  <si>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</si>
  <si>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</si>
  <si>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</si>
  <si>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</si>
  <si>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</si>
  <si>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</si>
  <si>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</si>
  <si>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</si>
  <si>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</si>
  <si>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</si>
  <si>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</si>
  <si>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</si>
  <si>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</si>
  <si>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</si>
  <si>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</si>
  <si>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</si>
  <si>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</si>
  <si>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</si>
  <si>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</si>
  <si>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</si>
  <si>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</si>
  <si>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</si>
  <si>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</si>
  <si>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</si>
  <si>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</si>
  <si>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</si>
  <si>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</si>
  <si>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</si>
  <si>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</si>
  <si>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</si>
  <si>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</si>
  <si>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</si>
  <si>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</si>
  <si>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</si>
  <si>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</si>
  <si>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</si>
  <si>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</si>
  <si>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</si>
  <si>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</si>
  <si>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</si>
  <si>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</si>
  <si>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</si>
  <si>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</si>
  <si>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</si>
  <si>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</si>
  <si>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</si>
  <si>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</si>
  <si>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</si>
  <si>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</si>
  <si>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</si>
  <si>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</si>
  <si>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</si>
  <si>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</si>
  <si>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</si>
  <si>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</si>
  <si>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</si>
  <si>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</si>
  <si>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</si>
  <si>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</si>
  <si>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</si>
  <si>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</si>
  <si>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</si>
  <si>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</si>
  <si>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</si>
  <si>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</si>
  <si>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</si>
  <si>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</si>
  <si>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</si>
  <si>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</si>
  <si>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</si>
  <si>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</si>
  <si>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</si>
  <si>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</si>
  <si>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</si>
  <si>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</si>
  <si>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</si>
  <si>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</si>
  <si>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</si>
  <si>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</si>
  <si>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</si>
  <si>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</si>
  <si>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</si>
  <si>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</si>
  <si>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</si>
  <si>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</si>
  <si>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</si>
  <si>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</si>
  <si>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</si>
  <si>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</si>
  <si>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</si>
  <si>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</si>
  <si>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</si>
  <si>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</si>
  <si>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</si>
  <si>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</si>
  <si>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</si>
  <si>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</si>
  <si>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</si>
  <si>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</si>
  <si>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</si>
  <si>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</si>
  <si>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</si>
  <si>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</si>
  <si>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</si>
  <si>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</si>
  <si>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</si>
  <si>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</si>
  <si>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</si>
  <si>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</si>
  <si>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</si>
  <si>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</si>
  <si>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</si>
  <si>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</si>
  <si>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</si>
  <si>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</si>
  <si>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</si>
  <si>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</si>
  <si>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</si>
  <si>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</si>
  <si>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</si>
  <si>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</si>
  <si>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</si>
  <si>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</si>
  <si>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</si>
  <si>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</si>
  <si>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</si>
  <si>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</si>
  <si>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</si>
  <si>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</si>
  <si>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</si>
  <si>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</si>
  <si>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</si>
  <si>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</si>
  <si>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</si>
  <si>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</si>
  <si>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</si>
  <si>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</si>
  <si>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</si>
  <si>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</si>
  <si>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</si>
  <si>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</si>
  <si>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</si>
  <si>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</si>
  <si>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</si>
  <si>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</si>
  <si>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</si>
  <si>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</si>
  <si>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</si>
  <si>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</si>
  <si>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</si>
  <si>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</si>
  <si>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</si>
  <si>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</si>
  <si>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</si>
  <si>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</si>
  <si>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</si>
  <si>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</si>
  <si>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</si>
  <si>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</si>
  <si>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</si>
  <si>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</si>
  <si>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</si>
  <si>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</si>
  <si>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</si>
  <si>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</si>
  <si>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</si>
  <si>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</si>
  <si>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</si>
  <si>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</si>
  <si>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</si>
  <si>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</si>
  <si>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</si>
  <si>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</si>
  <si>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</si>
  <si>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</si>
  <si>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</si>
  <si>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</si>
  <si>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</si>
  <si>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</si>
  <si>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</si>
  <si>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</si>
  <si>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</si>
  <si>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</si>
  <si>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</si>
  <si>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</si>
  <si>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</si>
  <si>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</si>
  <si>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</si>
  <si>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</si>
  <si>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</si>
  <si>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</si>
  <si>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</si>
  <si>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</si>
  <si>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</si>
  <si>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</si>
  <si>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</si>
  <si>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</si>
  <si>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</si>
  <si>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</si>
  <si>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</si>
  <si>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</si>
  <si>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</si>
  <si>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</si>
  <si>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</si>
  <si>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</si>
  <si>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</si>
  <si>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</si>
  <si>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</si>
  <si>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</si>
  <si>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</si>
  <si>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</si>
  <si>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</si>
  <si>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</si>
  <si>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</si>
  <si>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</si>
  <si>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</si>
  <si>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</si>
  <si>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</si>
  <si>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</si>
  <si>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</si>
  <si>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</si>
  <si>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</si>
  <si>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</si>
  <si>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</si>
  <si>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</si>
  <si>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</si>
  <si>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</si>
  <si>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</si>
  <si>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</si>
  <si>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</si>
  <si>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</si>
  <si>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</si>
  <si>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</si>
  <si>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</si>
  <si>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</si>
  <si>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</si>
  <si>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</si>
  <si>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</si>
  <si>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</si>
  <si>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</si>
  <si>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</si>
  <si>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</si>
  <si>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</si>
  <si>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</si>
  <si>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</si>
  <si>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</si>
  <si>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</si>
  <si>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</si>
  <si>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</si>
  <si>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</si>
  <si>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</si>
  <si>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</si>
  <si>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</si>
  <si>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</si>
  <si>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</si>
  <si>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</si>
  <si>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</si>
  <si>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</si>
  <si>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</si>
  <si>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</si>
  <si>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</si>
  <si>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</si>
  <si>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</si>
  <si>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</si>
  <si>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</si>
  <si>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</si>
  <si>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</si>
  <si>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</si>
  <si>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</si>
  <si>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</si>
  <si>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</si>
  <si>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</si>
  <si>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</si>
  <si>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</si>
  <si>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</si>
  <si>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</si>
  <si>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</si>
  <si>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</si>
  <si>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</si>
  <si>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</si>
  <si>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</si>
  <si>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</si>
  <si>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</si>
  <si>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</si>
  <si>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</si>
  <si>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</si>
  <si>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</si>
  <si>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</si>
  <si>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</si>
  <si>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</si>
  <si>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</si>
  <si>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</si>
  <si>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</si>
  <si>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</si>
  <si>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</si>
  <si>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</si>
  <si>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</si>
  <si>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</si>
  <si>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</si>
  <si>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</si>
  <si>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</si>
  <si>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</si>
  <si>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</si>
  <si>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</si>
  <si>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</si>
  <si>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</si>
  <si>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</si>
  <si>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</si>
  <si>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</si>
  <si>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</si>
  <si>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</si>
  <si>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</si>
  <si>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</si>
  <si>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</si>
  <si>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</si>
  <si>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</si>
  <si>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</si>
  <si>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</si>
  <si>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</si>
  <si>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</si>
  <si>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</si>
  <si>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</si>
  <si>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</si>
  <si>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</si>
  <si>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</si>
  <si>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</si>
  <si>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</si>
  <si>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</si>
  <si>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</si>
  <si>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</si>
  <si>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</si>
  <si>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</si>
  <si>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</si>
  <si>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</si>
  <si>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</si>
  <si>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</si>
  <si>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</si>
  <si>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</si>
  <si>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</si>
  <si>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</si>
  <si>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</si>
  <si>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</si>
  <si>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</si>
  <si>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</si>
  <si>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</si>
  <si>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</si>
  <si>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</si>
  <si>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</si>
  <si>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</si>
  <si>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</si>
  <si>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</si>
  <si>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</si>
  <si>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</si>
  <si>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</si>
  <si>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</si>
  <si>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</si>
  <si>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</si>
  <si>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</si>
  <si>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</si>
  <si>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</si>
  <si>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</si>
  <si>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</si>
  <si>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</si>
  <si>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</si>
  <si>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</si>
  <si>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</si>
  <si>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</si>
  <si>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</si>
  <si>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</si>
  <si>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</si>
  <si>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</si>
  <si>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</si>
  <si>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</si>
  <si>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</si>
  <si>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</si>
  <si>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</si>
  <si>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</si>
  <si>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</si>
  <si>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</si>
  <si>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</si>
  <si>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</si>
  <si>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</si>
  <si>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</si>
  <si>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</si>
  <si>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</si>
  <si>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</si>
  <si>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</si>
  <si>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</si>
  <si>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</si>
  <si>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</si>
  <si>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</si>
  <si>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</si>
  <si>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</si>
  <si>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</si>
  <si>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</si>
  <si>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</si>
  <si>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</si>
  <si>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</si>
  <si>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</si>
  <si>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</si>
  <si>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</si>
  <si>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</si>
  <si>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</si>
  <si>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</si>
  <si>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</si>
  <si>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</si>
  <si>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</si>
  <si>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</si>
  <si>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</si>
  <si>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</si>
  <si>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</si>
  <si>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</si>
  <si>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</si>
  <si>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</si>
  <si>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</si>
  <si>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</si>
  <si>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</si>
  <si>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</si>
  <si>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</si>
  <si>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</si>
  <si>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</si>
  <si>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</si>
  <si>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</si>
  <si>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</si>
  <si>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</si>
  <si>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</si>
  <si>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</si>
  <si>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</si>
  <si>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</si>
  <si>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</si>
  <si>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</si>
  <si>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</si>
  <si>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</si>
  <si>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</si>
  <si>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</si>
  <si>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</si>
  <si>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</si>
  <si>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</si>
  <si>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</si>
  <si>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</si>
  <si>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</si>
  <si>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</si>
  <si>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</si>
  <si>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</si>
  <si>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</si>
  <si>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</si>
  <si>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</si>
  <si>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</si>
  <si>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</si>
  <si>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</si>
  <si>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</si>
  <si>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</si>
  <si>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</si>
  <si>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</si>
  <si>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</si>
  <si>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</si>
  <si>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</si>
  <si>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</si>
  <si>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</si>
  <si>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</si>
  <si>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</si>
  <si>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</si>
  <si>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</si>
  <si>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</si>
  <si>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</si>
  <si>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</si>
  <si>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</si>
  <si>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</si>
  <si>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</si>
  <si>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</si>
  <si>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</si>
  <si>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</si>
  <si>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</si>
  <si>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</si>
  <si>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</si>
  <si>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</si>
  <si>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</si>
  <si>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</si>
  <si>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</si>
  <si>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</si>
  <si>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</si>
  <si>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</si>
  <si>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</si>
  <si>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</si>
  <si>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</si>
  <si>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</si>
  <si>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</si>
  <si>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</si>
  <si>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</si>
  <si>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</si>
  <si>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</si>
  <si>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</si>
  <si>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</si>
  <si>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</si>
  <si>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</si>
  <si>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</si>
  <si>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</si>
  <si>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Sierra Circuits, Inc</t>
  </si>
  <si>
    <t>All materials in Printed Circuit Boards and Assemblies except for components.</t>
  </si>
  <si>
    <t>092616184SIC</t>
  </si>
  <si>
    <t>Dun &amp; Bradstreet</t>
  </si>
  <si>
    <t>1108 West Evelyn Ave, Sunnyvale, CA. 94086</t>
  </si>
  <si>
    <t>Steve Arobio</t>
  </si>
  <si>
    <t>408-735-7137</t>
  </si>
  <si>
    <t>VP of manufacturing operations</t>
  </si>
  <si>
    <t>stevea@protoexpress.com</t>
  </si>
  <si>
    <t>Some smelters sources from have feedstock that originates in the covered countries. These level 3 smelters have been "approved" by the EICC and implemented responsible sourcing practices to allow for non-conflict material originating in conflict areas to be processed.</t>
  </si>
  <si>
    <t>http: protoexpress.com/content/quality.isp</t>
  </si>
  <si>
    <t>CFSI</t>
  </si>
  <si>
    <t>PT Timah (Persero) Tbk Kundur</t>
  </si>
  <si>
    <t>PT Timah (Persero) Tbk Mentok</t>
  </si>
  <si>
    <t>255 John L. Dietsch Boulevard</t>
  </si>
  <si>
    <t>Samantha McCourt</t>
  </si>
  <si>
    <t>Samantha.McCourt@metalor.com</t>
  </si>
  <si>
    <t>recycled and scrap</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</si>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</sst>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 fillId="33" borderId="61" xfId="487" applyNumberFormat="1" applyFill="1" applyBorder="1" applyAlignment="1" applyProtection="1">
      <alignment horizontal="left" vertical="center" wrapText="1"/>
      <protection locked="0" hidden="1"/>
    </xf>
    <xf numFmtId="49" fontId="97" fillId="33" borderId="10" xfId="0" applyNumberFormat="1" applyFont="1" applyFill="1" applyBorder="1" applyAlignment="1" applyProtection="1">
      <alignment horizontal="left" vertical="center" wrapText="1"/>
      <protection locked="0" hidden="1"/>
    </xf>
    <xf numFmtId="49" fontId="97" fillId="33" borderId="37" xfId="0" applyNumberFormat="1" applyFont="1" applyFill="1" applyBorder="1" applyAlignment="1" applyProtection="1">
      <alignment horizontal="left" vertical="center" wrapText="1"/>
      <protection locked="0"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6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evea@protoexpres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vea@protoexpres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4"/>
      <c r="B2" s="38" t="s">
        <v>870</v>
      </c>
      <c r="C2" s="36"/>
      <c r="D2" s="208"/>
      <c r="E2" s="3"/>
      <c r="F2" s="36"/>
      <c r="G2" s="34"/>
    </row>
    <row r="3" spans="1:7">
      <c r="A3" s="364"/>
      <c r="B3" s="5" t="s">
        <v>862</v>
      </c>
      <c r="C3" s="6"/>
      <c r="D3" s="209"/>
      <c r="E3" s="3"/>
      <c r="F3" s="6"/>
      <c r="G3" s="34"/>
    </row>
    <row r="4" spans="1:7" ht="15.75">
      <c r="A4" s="364"/>
      <c r="B4" s="41" t="s">
        <v>872</v>
      </c>
      <c r="C4" s="7"/>
      <c r="D4" s="210"/>
      <c r="E4" s="3"/>
      <c r="F4" s="7"/>
      <c r="G4" s="34"/>
    </row>
    <row r="5" spans="1:7">
      <c r="A5" s="364"/>
      <c r="B5" s="40" t="s">
        <v>1063</v>
      </c>
      <c r="C5" s="4"/>
      <c r="D5" s="211"/>
      <c r="E5" s="3"/>
      <c r="F5" s="4"/>
      <c r="G5" s="34"/>
    </row>
    <row r="6" spans="1:7">
      <c r="A6" s="364"/>
      <c r="B6" s="8"/>
      <c r="C6" s="8"/>
      <c r="D6" s="212"/>
      <c r="E6" s="8"/>
      <c r="F6" s="8"/>
      <c r="G6" s="34"/>
    </row>
    <row r="7" spans="1:7">
      <c r="A7" s="364"/>
      <c r="B7" s="8"/>
      <c r="C7" s="8"/>
      <c r="D7" s="212"/>
      <c r="E7" s="8"/>
      <c r="F7" s="8"/>
      <c r="G7" s="34"/>
    </row>
    <row r="8" spans="1:7">
      <c r="A8" s="364"/>
      <c r="B8" s="8"/>
      <c r="C8" s="8"/>
      <c r="D8" s="212"/>
      <c r="E8" s="8"/>
      <c r="F8" s="8"/>
      <c r="G8" s="34"/>
    </row>
    <row r="9" spans="1:7">
      <c r="A9" s="364"/>
      <c r="B9" s="367" t="s">
        <v>873</v>
      </c>
      <c r="C9" s="367"/>
      <c r="D9" s="367"/>
      <c r="E9" s="367"/>
      <c r="F9" s="367"/>
      <c r="G9" s="34"/>
    </row>
    <row r="10" spans="1:7" ht="27" customHeight="1">
      <c r="A10" s="364"/>
      <c r="B10" s="368" t="s">
        <v>448</v>
      </c>
      <c r="C10" s="368"/>
      <c r="D10" s="368"/>
      <c r="E10" s="368"/>
      <c r="F10" s="368"/>
      <c r="G10" s="34"/>
    </row>
    <row r="11" spans="1:7" ht="27" customHeight="1">
      <c r="A11" s="364"/>
      <c r="B11" s="369"/>
      <c r="C11" s="369"/>
      <c r="D11" s="369"/>
      <c r="E11" s="369"/>
      <c r="F11" s="369"/>
      <c r="G11" s="34"/>
    </row>
    <row r="12" spans="1:7">
      <c r="A12" s="364"/>
      <c r="B12" s="42" t="s">
        <v>871</v>
      </c>
      <c r="C12" s="43" t="s">
        <v>874</v>
      </c>
      <c r="D12" s="213" t="s">
        <v>875</v>
      </c>
      <c r="E12" s="43" t="s">
        <v>628</v>
      </c>
      <c r="F12" s="43" t="s">
        <v>629</v>
      </c>
      <c r="G12" s="34"/>
    </row>
    <row r="13" spans="1:7" ht="33.75">
      <c r="A13" s="364"/>
      <c r="B13" s="2">
        <v>1</v>
      </c>
      <c r="C13" s="37" t="s">
        <v>1111</v>
      </c>
      <c r="D13" s="39" t="s">
        <v>899</v>
      </c>
      <c r="E13" s="196" t="s">
        <v>876</v>
      </c>
      <c r="F13" s="196"/>
      <c r="G13" s="34"/>
    </row>
    <row r="14" spans="1:7" ht="33.75">
      <c r="A14" s="364"/>
      <c r="B14" s="2">
        <v>2</v>
      </c>
      <c r="C14" s="37" t="s">
        <v>1111</v>
      </c>
      <c r="D14" s="39" t="s">
        <v>1048</v>
      </c>
      <c r="E14" s="196" t="s">
        <v>540</v>
      </c>
      <c r="F14" s="196" t="s">
        <v>541</v>
      </c>
      <c r="G14" s="34"/>
    </row>
    <row r="15" spans="1:7" ht="89.1" customHeight="1">
      <c r="A15" s="364"/>
      <c r="B15" s="349">
        <v>2.0099999999999998</v>
      </c>
      <c r="C15" s="361" t="s">
        <v>1111</v>
      </c>
      <c r="D15" s="370" t="s">
        <v>2358</v>
      </c>
      <c r="E15" s="197" t="s">
        <v>630</v>
      </c>
      <c r="F15" s="197" t="s">
        <v>633</v>
      </c>
      <c r="G15" s="34"/>
    </row>
    <row r="16" spans="1:7" ht="99" customHeight="1">
      <c r="A16" s="364"/>
      <c r="B16" s="350"/>
      <c r="C16" s="362"/>
      <c r="D16" s="371"/>
      <c r="E16" s="198"/>
      <c r="F16" s="198" t="s">
        <v>631</v>
      </c>
      <c r="G16" s="34"/>
    </row>
    <row r="17" spans="1:7" ht="63" customHeight="1">
      <c r="A17" s="364"/>
      <c r="B17" s="351"/>
      <c r="C17" s="363"/>
      <c r="D17" s="372"/>
      <c r="E17" s="37"/>
      <c r="F17" s="37" t="s">
        <v>632</v>
      </c>
      <c r="G17" s="34"/>
    </row>
    <row r="18" spans="1:7" ht="117" customHeight="1">
      <c r="A18" s="364"/>
      <c r="B18" s="349">
        <v>2.02</v>
      </c>
      <c r="C18" s="361" t="s">
        <v>1111</v>
      </c>
      <c r="D18" s="370" t="s">
        <v>2359</v>
      </c>
      <c r="E18" s="197" t="s">
        <v>449</v>
      </c>
      <c r="F18" s="197" t="s">
        <v>535</v>
      </c>
      <c r="G18" s="34"/>
    </row>
    <row r="19" spans="1:7" ht="71.099999999999994" customHeight="1">
      <c r="A19" s="364"/>
      <c r="B19" s="350"/>
      <c r="C19" s="362"/>
      <c r="D19" s="371"/>
      <c r="E19" s="198" t="s">
        <v>539</v>
      </c>
      <c r="F19" s="198" t="s">
        <v>450</v>
      </c>
      <c r="G19" s="34"/>
    </row>
    <row r="20" spans="1:7" ht="90.75" customHeight="1">
      <c r="A20" s="364"/>
      <c r="B20" s="350"/>
      <c r="C20" s="362"/>
      <c r="D20" s="371"/>
      <c r="E20" s="198"/>
      <c r="F20" s="198" t="s">
        <v>635</v>
      </c>
      <c r="G20" s="34"/>
    </row>
    <row r="21" spans="1:7" ht="74.25" customHeight="1">
      <c r="A21" s="364"/>
      <c r="B21" s="351"/>
      <c r="C21" s="363"/>
      <c r="D21" s="372"/>
      <c r="E21" s="37"/>
      <c r="F21" s="37" t="s">
        <v>634</v>
      </c>
      <c r="G21" s="34"/>
    </row>
    <row r="22" spans="1:7" ht="90" customHeight="1">
      <c r="A22" s="364"/>
      <c r="B22" s="355">
        <v>2.0299999999999998</v>
      </c>
      <c r="C22" s="355" t="s">
        <v>845</v>
      </c>
      <c r="D22" s="358" t="s">
        <v>2360</v>
      </c>
      <c r="E22" s="361" t="s">
        <v>447</v>
      </c>
      <c r="F22" s="197" t="s">
        <v>470</v>
      </c>
      <c r="G22" s="34"/>
    </row>
    <row r="23" spans="1:7" ht="109.5" customHeight="1">
      <c r="A23" s="364"/>
      <c r="B23" s="356"/>
      <c r="C23" s="356"/>
      <c r="D23" s="359"/>
      <c r="E23" s="362"/>
      <c r="F23" s="198" t="s">
        <v>846</v>
      </c>
      <c r="G23" s="34"/>
    </row>
    <row r="24" spans="1:7" ht="74.25" customHeight="1">
      <c r="A24" s="364"/>
      <c r="B24" s="357"/>
      <c r="C24" s="357"/>
      <c r="D24" s="360"/>
      <c r="E24" s="363"/>
      <c r="F24" s="37" t="s">
        <v>446</v>
      </c>
      <c r="G24" s="34"/>
    </row>
    <row r="25" spans="1:7" ht="72" customHeight="1">
      <c r="A25" s="364"/>
      <c r="B25" s="2" t="s">
        <v>468</v>
      </c>
      <c r="C25" s="37" t="s">
        <v>469</v>
      </c>
      <c r="D25" s="39" t="s">
        <v>2361</v>
      </c>
      <c r="E25" s="37" t="s">
        <v>2356</v>
      </c>
      <c r="F25" s="37" t="s">
        <v>471</v>
      </c>
      <c r="G25" s="34"/>
    </row>
    <row r="26" spans="1:7" ht="98.1" customHeight="1">
      <c r="A26" s="364"/>
      <c r="B26" s="352">
        <v>3</v>
      </c>
      <c r="C26" s="349" t="s">
        <v>72</v>
      </c>
      <c r="D26" s="370" t="s">
        <v>2362</v>
      </c>
      <c r="E26" s="361" t="s">
        <v>0</v>
      </c>
      <c r="F26" s="197" t="s">
        <v>66</v>
      </c>
      <c r="G26" s="34"/>
    </row>
    <row r="27" spans="1:7" ht="90" customHeight="1">
      <c r="A27" s="364"/>
      <c r="B27" s="353"/>
      <c r="C27" s="350"/>
      <c r="D27" s="371"/>
      <c r="E27" s="362"/>
      <c r="F27" s="198" t="s">
        <v>61</v>
      </c>
      <c r="G27" s="34"/>
    </row>
    <row r="28" spans="1:7" ht="19.350000000000001" customHeight="1">
      <c r="A28" s="364"/>
      <c r="B28" s="353"/>
      <c r="C28" s="350"/>
      <c r="D28" s="371"/>
      <c r="E28" s="362"/>
      <c r="F28" s="198" t="s">
        <v>62</v>
      </c>
      <c r="G28" s="34"/>
    </row>
    <row r="29" spans="1:7" ht="74.45" customHeight="1">
      <c r="A29" s="364"/>
      <c r="B29" s="353"/>
      <c r="C29" s="350"/>
      <c r="D29" s="371"/>
      <c r="E29" s="362"/>
      <c r="F29" s="198" t="s">
        <v>63</v>
      </c>
      <c r="G29" s="34"/>
    </row>
    <row r="30" spans="1:7" ht="62.45" customHeight="1">
      <c r="A30" s="364"/>
      <c r="B30" s="353"/>
      <c r="C30" s="350"/>
      <c r="D30" s="371"/>
      <c r="E30" s="362"/>
      <c r="F30" s="198" t="s">
        <v>64</v>
      </c>
      <c r="G30" s="34"/>
    </row>
    <row r="31" spans="1:7" ht="81" customHeight="1">
      <c r="A31" s="364"/>
      <c r="B31" s="353"/>
      <c r="C31" s="350"/>
      <c r="D31" s="371"/>
      <c r="E31" s="362"/>
      <c r="F31" s="198" t="s">
        <v>65</v>
      </c>
      <c r="G31" s="34"/>
    </row>
    <row r="32" spans="1:7" ht="48.75" customHeight="1">
      <c r="A32" s="364"/>
      <c r="B32" s="353"/>
      <c r="C32" s="350"/>
      <c r="D32" s="371"/>
      <c r="E32" s="362"/>
      <c r="F32" s="198" t="s">
        <v>68</v>
      </c>
      <c r="G32" s="34"/>
    </row>
    <row r="33" spans="1:7" ht="98.45" customHeight="1">
      <c r="A33" s="364"/>
      <c r="B33" s="353"/>
      <c r="C33" s="350"/>
      <c r="D33" s="371"/>
      <c r="E33" s="362"/>
      <c r="F33" s="198" t="s">
        <v>67</v>
      </c>
      <c r="G33" s="34"/>
    </row>
    <row r="34" spans="1:7" ht="89.1" customHeight="1">
      <c r="A34" s="364"/>
      <c r="B34" s="353"/>
      <c r="C34" s="350"/>
      <c r="D34" s="371"/>
      <c r="E34" s="362"/>
      <c r="F34" s="198" t="s">
        <v>69</v>
      </c>
      <c r="G34" s="34"/>
    </row>
    <row r="35" spans="1:7" ht="29.1" customHeight="1">
      <c r="A35" s="364"/>
      <c r="B35" s="353"/>
      <c r="C35" s="350"/>
      <c r="D35" s="371"/>
      <c r="E35" s="362"/>
      <c r="F35" s="198" t="s">
        <v>70</v>
      </c>
      <c r="G35" s="34"/>
    </row>
    <row r="36" spans="1:7" ht="126.75">
      <c r="A36" s="364"/>
      <c r="B36" s="354"/>
      <c r="C36" s="351"/>
      <c r="D36" s="372"/>
      <c r="E36" s="363"/>
      <c r="F36" s="199" t="s">
        <v>71</v>
      </c>
      <c r="G36" s="34"/>
    </row>
    <row r="37" spans="1:7" ht="112.5">
      <c r="A37" s="364"/>
      <c r="B37" s="171">
        <v>3.01</v>
      </c>
      <c r="C37" s="172" t="s">
        <v>72</v>
      </c>
      <c r="D37" s="39" t="s">
        <v>2363</v>
      </c>
      <c r="E37" s="200" t="s">
        <v>1351</v>
      </c>
      <c r="F37" s="201" t="s">
        <v>1457</v>
      </c>
      <c r="G37" s="34"/>
    </row>
    <row r="38" spans="1:7" ht="101.25">
      <c r="A38" s="364"/>
      <c r="B38" s="171">
        <v>3.02</v>
      </c>
      <c r="C38" s="172" t="s">
        <v>1384</v>
      </c>
      <c r="D38" s="39" t="s">
        <v>2364</v>
      </c>
      <c r="E38" s="200" t="s">
        <v>1399</v>
      </c>
      <c r="F38" s="201" t="s">
        <v>1458</v>
      </c>
      <c r="G38" s="34"/>
    </row>
    <row r="39" spans="1:7" ht="101.25">
      <c r="A39" s="364"/>
      <c r="B39" s="182">
        <v>4</v>
      </c>
      <c r="C39" s="181" t="s">
        <v>1554</v>
      </c>
      <c r="D39" s="39" t="s">
        <v>2365</v>
      </c>
      <c r="E39" s="37" t="s">
        <v>2307</v>
      </c>
      <c r="F39" s="37" t="s">
        <v>1555</v>
      </c>
      <c r="G39" s="34"/>
    </row>
    <row r="40" spans="1:7" ht="56.25">
      <c r="A40" s="364"/>
      <c r="B40" s="171">
        <v>4.01</v>
      </c>
      <c r="C40" s="181" t="s">
        <v>1554</v>
      </c>
      <c r="D40" s="39" t="s">
        <v>2367</v>
      </c>
      <c r="E40" s="37" t="s">
        <v>2321</v>
      </c>
      <c r="F40" s="37" t="s">
        <v>2326</v>
      </c>
      <c r="G40" s="34"/>
    </row>
    <row r="41" spans="1:7" ht="56.25">
      <c r="A41" s="364"/>
      <c r="B41" s="171" t="s">
        <v>2354</v>
      </c>
      <c r="C41" s="181" t="s">
        <v>1554</v>
      </c>
      <c r="D41" s="39" t="s">
        <v>2366</v>
      </c>
      <c r="E41" s="37" t="s">
        <v>2357</v>
      </c>
      <c r="F41" s="37" t="s">
        <v>2355</v>
      </c>
      <c r="G41" s="34"/>
    </row>
    <row r="42" spans="1:7" ht="56.25">
      <c r="A42" s="364"/>
      <c r="B42" s="171" t="s">
        <v>2399</v>
      </c>
      <c r="C42" s="181" t="s">
        <v>1554</v>
      </c>
      <c r="D42" s="39" t="s">
        <v>2406</v>
      </c>
      <c r="E42" s="37" t="s">
        <v>2356</v>
      </c>
      <c r="F42" s="37" t="s">
        <v>2400</v>
      </c>
      <c r="G42" s="34"/>
    </row>
    <row r="43" spans="1:7" ht="123.75">
      <c r="A43" s="364"/>
      <c r="B43" s="193">
        <v>4.0999999999999996</v>
      </c>
      <c r="C43" s="181" t="s">
        <v>2405</v>
      </c>
      <c r="D43" s="194">
        <v>42867</v>
      </c>
      <c r="E43" s="202" t="s">
        <v>2408</v>
      </c>
      <c r="F43" s="37" t="s">
        <v>2407</v>
      </c>
      <c r="G43" s="34"/>
    </row>
    <row r="44" spans="1:7" ht="78.75">
      <c r="A44" s="364"/>
      <c r="B44" s="193">
        <v>4.2</v>
      </c>
      <c r="C44" s="181" t="s">
        <v>2405</v>
      </c>
      <c r="D44" s="194">
        <v>42704</v>
      </c>
      <c r="E44" s="202" t="s">
        <v>2625</v>
      </c>
      <c r="F44" s="37" t="s">
        <v>2598</v>
      </c>
      <c r="G44" s="34"/>
    </row>
    <row r="45" spans="1:7" ht="157.5">
      <c r="A45" s="364"/>
      <c r="B45" s="243">
        <v>5</v>
      </c>
      <c r="C45" s="181" t="s">
        <v>2405</v>
      </c>
      <c r="D45" s="194">
        <v>42867</v>
      </c>
      <c r="E45" s="202" t="s">
        <v>13032</v>
      </c>
      <c r="F45" s="37" t="s">
        <v>12754</v>
      </c>
      <c r="G45" s="34"/>
    </row>
    <row r="46" spans="1:7" ht="45">
      <c r="A46" s="364"/>
      <c r="B46" s="193">
        <v>5.01</v>
      </c>
      <c r="C46" s="181" t="s">
        <v>2405</v>
      </c>
      <c r="D46" s="194">
        <v>42907</v>
      </c>
      <c r="E46" s="202" t="s">
        <v>13052</v>
      </c>
      <c r="F46" s="37" t="s">
        <v>12754</v>
      </c>
      <c r="G46" s="34"/>
    </row>
    <row r="47" spans="1:7" ht="67.5">
      <c r="A47" s="364"/>
      <c r="B47" s="193">
        <v>5.0999999999999996</v>
      </c>
      <c r="C47" s="181" t="s">
        <v>2405</v>
      </c>
      <c r="D47" s="194">
        <v>43070</v>
      </c>
      <c r="E47" s="202" t="s">
        <v>13247</v>
      </c>
      <c r="F47" s="37" t="s">
        <v>13248</v>
      </c>
      <c r="G47" s="34"/>
    </row>
    <row r="48" spans="1:7" ht="56.25">
      <c r="A48" s="364"/>
      <c r="B48" s="193">
        <v>5.1100000000000003</v>
      </c>
      <c r="C48" s="181" t="s">
        <v>13489</v>
      </c>
      <c r="D48" s="194">
        <v>43217</v>
      </c>
      <c r="E48" s="202" t="s">
        <v>13617</v>
      </c>
      <c r="F48" s="37" t="s">
        <v>13523</v>
      </c>
      <c r="G48" s="34"/>
    </row>
    <row r="49" spans="1:7" ht="56.25">
      <c r="A49" s="364"/>
      <c r="B49" s="193">
        <v>5.12</v>
      </c>
      <c r="C49" s="181" t="s">
        <v>13489</v>
      </c>
      <c r="D49" s="194">
        <v>43581</v>
      </c>
      <c r="E49" s="202" t="s">
        <v>13617</v>
      </c>
      <c r="F49" s="37" t="s">
        <v>14191</v>
      </c>
      <c r="G49" s="34"/>
    </row>
    <row r="50" spans="1:7" ht="78.75">
      <c r="A50" s="364"/>
      <c r="B50" s="243">
        <v>6</v>
      </c>
      <c r="C50" s="181" t="s">
        <v>13489</v>
      </c>
      <c r="D50" s="194">
        <v>43964</v>
      </c>
      <c r="E50" s="202" t="s">
        <v>14433</v>
      </c>
      <c r="F50" s="37" t="s">
        <v>14204</v>
      </c>
      <c r="G50" s="34"/>
    </row>
    <row r="51" spans="1:7" ht="45">
      <c r="A51" s="364"/>
      <c r="B51" s="193">
        <v>6.01</v>
      </c>
      <c r="C51" s="181" t="s">
        <v>13489</v>
      </c>
      <c r="D51" s="194">
        <v>43970</v>
      </c>
      <c r="E51" s="202" t="s">
        <v>15503</v>
      </c>
      <c r="F51" s="202" t="s">
        <v>14204</v>
      </c>
      <c r="G51" s="34"/>
    </row>
    <row r="52" spans="1:7" ht="13.5" thickBot="1">
      <c r="A52" s="365"/>
      <c r="B52" s="366" t="str">
        <f ca="1">OFFSET(L!$C$1,MATCH("General"&amp;"Cpy",L!$A:$A,0)-1,SL,,)</f>
        <v>© 2020 Responsible Minerals Initiative. All rights reserved.</v>
      </c>
      <c r="C52" s="366"/>
      <c r="D52" s="366"/>
      <c r="E52" s="366"/>
      <c r="F52" s="36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E115" sqref="E1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15505</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15506</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20" t="s">
        <v>15507</v>
      </c>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4" t="str">
        <f ca="1">IF(D9=Q9,OFFSET(L!$C$1,MATCH("Declaration"&amp;ADDRESS(ROW(),COLUMN(),4),L!$A:$A,0)-1,SL,,),"")</f>
        <v/>
      </c>
      <c r="E11" s="395"/>
      <c r="F11" s="395"/>
      <c r="G11" s="395"/>
      <c r="H11" s="395"/>
      <c r="I11" s="395"/>
      <c r="J11" s="39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t="s">
        <v>15508</v>
      </c>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t="s">
        <v>15509</v>
      </c>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t="s">
        <v>15510</v>
      </c>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15511</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15514</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15512</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15511</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t="s">
        <v>15513</v>
      </c>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15514</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3" t="s">
        <v>15512</v>
      </c>
      <c r="E21" s="404"/>
      <c r="F21" s="404"/>
      <c r="G21" s="404"/>
      <c r="H21" s="404"/>
      <c r="I21" s="404"/>
      <c r="J21" s="40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44004</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498</v>
      </c>
      <c r="E28" s="380"/>
      <c r="F28" s="15"/>
      <c r="G28" s="381"/>
      <c r="H28" s="382"/>
      <c r="I28" s="382"/>
      <c r="J28" s="38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498</v>
      </c>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499</v>
      </c>
      <c r="E39" s="380"/>
      <c r="F39" s="58"/>
      <c r="G39" s="381" t="s">
        <v>15515</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499</v>
      </c>
      <c r="E40" s="380"/>
      <c r="F40" s="58"/>
      <c r="G40" s="381"/>
      <c r="H40" s="382"/>
      <c r="I40" s="382"/>
      <c r="J40" s="383"/>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9" t="str">
        <f ca="1">D25</f>
        <v>Answer</v>
      </c>
      <c r="E43" s="399"/>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499</v>
      </c>
      <c r="E45" s="380"/>
      <c r="F45" s="58"/>
      <c r="G45" s="381"/>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9" t="s">
        <v>499</v>
      </c>
      <c r="E46" s="380"/>
      <c r="F46" s="58"/>
      <c r="G46" s="381"/>
      <c r="H46" s="382"/>
      <c r="I46" s="382"/>
      <c r="J46" s="383"/>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400">
        <v>1</v>
      </c>
      <c r="E51" s="401"/>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400">
        <v>1</v>
      </c>
      <c r="E52" s="401"/>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9" t="str">
        <f ca="1">D25</f>
        <v>Answer</v>
      </c>
      <c r="E55" s="39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0"/>
      <c r="E56" s="401"/>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79" t="s">
        <v>498</v>
      </c>
      <c r="E57" s="380"/>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79" t="s">
        <v>498</v>
      </c>
      <c r="E58" s="380"/>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0"/>
      <c r="E59" s="401"/>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9" t="str">
        <f ca="1">D25</f>
        <v>Answer</v>
      </c>
      <c r="E61" s="399"/>
      <c r="F61" s="21"/>
      <c r="G61" s="55" t="str">
        <f ca="1">G25</f>
        <v>Comments</v>
      </c>
      <c r="H61" s="392"/>
      <c r="I61" s="392"/>
      <c r="J61" s="39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9" t="s">
        <v>498</v>
      </c>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9" t="str">
        <f ca="1">D25</f>
        <v>Answer</v>
      </c>
      <c r="E67" s="399"/>
      <c r="F67" s="21"/>
      <c r="G67" s="55" t="str">
        <f ca="1">G25</f>
        <v>Comments</v>
      </c>
      <c r="H67" s="392" t="str">
        <f>IF(Q75="(*)","Click here to enter smelter names","")</f>
        <v/>
      </c>
      <c r="I67" s="392"/>
      <c r="J67" s="39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9" t="s">
        <v>498</v>
      </c>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3" t="str">
        <f ca="1">D25</f>
        <v>Answer</v>
      </c>
      <c r="E74" s="393"/>
      <c r="F74" s="64"/>
      <c r="G74" s="393" t="str">
        <f ca="1">G25</f>
        <v>Comments</v>
      </c>
      <c r="H74" s="393" t="e">
        <f>HLOOKUP(SL,LT,$O74,0)</f>
        <v>#NAME?</v>
      </c>
      <c r="I74" s="39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407" t="s">
        <v>15516</v>
      </c>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15442</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14354</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64" priority="112" stopIfTrue="1">
      <formula>AND(OR($D$26="No",AND($D$26="Yes",$D$32="No")),OR($D$27="No",AND($D$27="Yes",$D$33="No")),OR($D$28="No",AND($D$28="Yes",$D$34="No")),OR($D$29="No",AND($D$29="Yes",$D$35="No")))</formula>
    </cfRule>
    <cfRule type="expression" dxfId="163" priority="113" stopIfTrue="1">
      <formula>IF(D75="",TRUE)</formula>
    </cfRule>
  </conditionalFormatting>
  <conditionalFormatting sqref="G77:J77">
    <cfRule type="expression" dxfId="162" priority="84" stopIfTrue="1">
      <formula>IF(AND($D$77="Yes",$G$77=""),TRUE)</formula>
    </cfRule>
  </conditionalFormatting>
  <conditionalFormatting sqref="D8:J8">
    <cfRule type="expression" dxfId="161" priority="178" stopIfTrue="1">
      <formula>IF($D$8="",TRUE)</formula>
    </cfRule>
  </conditionalFormatting>
  <conditionalFormatting sqref="D9:G9">
    <cfRule type="expression" dxfId="160" priority="179" stopIfTrue="1">
      <formula>IF($D$9="",TRUE)</formula>
    </cfRule>
  </conditionalFormatting>
  <conditionalFormatting sqref="D16:J16">
    <cfRule type="expression" dxfId="159" priority="181" stopIfTrue="1">
      <formula>IF($D$16="",TRUE)</formula>
    </cfRule>
  </conditionalFormatting>
  <conditionalFormatting sqref="D22:E22">
    <cfRule type="expression" dxfId="158" priority="186" stopIfTrue="1">
      <formula>IF($D$22="",TRUE)</formula>
    </cfRule>
  </conditionalFormatting>
  <conditionalFormatting sqref="D10:J10">
    <cfRule type="expression" dxfId="157" priority="83" stopIfTrue="1">
      <formula>IF($D$9=$Q$9,TRUE)</formula>
    </cfRule>
    <cfRule type="expression" dxfId="156" priority="193" stopIfTrue="1">
      <formula>IF(AND($D$10="",$D$9=$R$9),TRUE)</formula>
    </cfRule>
  </conditionalFormatting>
  <conditionalFormatting sqref="D35:E35 D41:E41 D53:E53 D59:E59 D65:E65 D71:E71">
    <cfRule type="expression" dxfId="155" priority="191" stopIfTrue="1">
      <formula>$P$29=""</formula>
    </cfRule>
  </conditionalFormatting>
  <conditionalFormatting sqref="D32:E32">
    <cfRule type="expression" dxfId="154" priority="169" stopIfTrue="1">
      <formula>$P$26=""</formula>
    </cfRule>
  </conditionalFormatting>
  <conditionalFormatting sqref="D32:E32">
    <cfRule type="expression" dxfId="153" priority="82" stopIfTrue="1">
      <formula>IF(AND(OR($D$26="Yes",$D$26=""),$D$32=""),1,0)</formula>
    </cfRule>
  </conditionalFormatting>
  <conditionalFormatting sqref="D38 D50 D56 D62 D68">
    <cfRule type="expression" dxfId="152" priority="78" stopIfTrue="1">
      <formula>$P$32=""</formula>
    </cfRule>
  </conditionalFormatting>
  <conditionalFormatting sqref="D41 D53 D59 D65 D71">
    <cfRule type="expression" dxfId="151" priority="75" stopIfTrue="1">
      <formula>$P$35=""</formula>
    </cfRule>
  </conditionalFormatting>
  <conditionalFormatting sqref="D38:E38 D50:E50 D56:E56 D62:E62 D68:E68">
    <cfRule type="expression" dxfId="150" priority="80" stopIfTrue="1">
      <formula>$P$26=""</formula>
    </cfRule>
    <cfRule type="expression" dxfId="149" priority="81" stopIfTrue="1">
      <formula>IF(AND(OR($D$26="Yes",$D$26=""),D38=""),1,0)</formula>
    </cfRule>
  </conditionalFormatting>
  <conditionalFormatting sqref="G85:J85">
    <cfRule type="expression" dxfId="148" priority="74" stopIfTrue="1">
      <formula>IF(AND($D$85="Yes, using other format (describe)",$G$85=""),TRUE)</formula>
    </cfRule>
  </conditionalFormatting>
  <conditionalFormatting sqref="D41:E41 D53:E53 D59:E59 D65:E65 D71:E71">
    <cfRule type="expression" dxfId="147" priority="192" stopIfTrue="1">
      <formula>IF(AND(OR($D$29="Yes",$D$29=""),D41=""),1,0)</formula>
    </cfRule>
  </conditionalFormatting>
  <conditionalFormatting sqref="D35:E35">
    <cfRule type="expression" dxfId="146" priority="66" stopIfTrue="1">
      <formula>IF(AND(OR($D$29="Yes",$D$29=""),$D$35=""),1,0)</formula>
    </cfRule>
  </conditionalFormatting>
  <conditionalFormatting sqref="D47:E47">
    <cfRule type="expression" dxfId="145" priority="60" stopIfTrue="1">
      <formula>$P$29=""</formula>
    </cfRule>
  </conditionalFormatting>
  <conditionalFormatting sqref="D44">
    <cfRule type="expression" dxfId="144" priority="54" stopIfTrue="1">
      <formula>$P$32=""</formula>
    </cfRule>
  </conditionalFormatting>
  <conditionalFormatting sqref="D47">
    <cfRule type="expression" dxfId="143" priority="51" stopIfTrue="1">
      <formula>$P$35=""</formula>
    </cfRule>
  </conditionalFormatting>
  <conditionalFormatting sqref="D44:E44">
    <cfRule type="expression" dxfId="142" priority="55" stopIfTrue="1">
      <formula>$P$26=""</formula>
    </cfRule>
    <cfRule type="expression" dxfId="141" priority="56" stopIfTrue="1">
      <formula>IF(AND(OR($D$26="Yes",$D$26=""),D44=""),1,0)</formula>
    </cfRule>
  </conditionalFormatting>
  <conditionalFormatting sqref="D47:E47">
    <cfRule type="expression" dxfId="140" priority="61" stopIfTrue="1">
      <formula>IF(AND(OR($D$29="Yes",$D$29=""),D47=""),1,0)</formula>
    </cfRule>
  </conditionalFormatting>
  <conditionalFormatting sqref="D15:J15">
    <cfRule type="expression" dxfId="139" priority="49" stopIfTrue="1">
      <formula>IF($D$15="",TRUE)</formula>
    </cfRule>
  </conditionalFormatting>
  <conditionalFormatting sqref="D17:J17">
    <cfRule type="expression" dxfId="138" priority="47" stopIfTrue="1">
      <formula>IF($D$17="",TRUE)</formula>
    </cfRule>
  </conditionalFormatting>
  <conditionalFormatting sqref="D18:J18">
    <cfRule type="expression" dxfId="137" priority="48" stopIfTrue="1">
      <formula>IF($D$18="",TRUE)</formula>
    </cfRule>
  </conditionalFormatting>
  <conditionalFormatting sqref="D20:J20">
    <cfRule type="expression" dxfId="136" priority="45" stopIfTrue="1">
      <formula>IF($D$20="",TRUE)</formula>
    </cfRule>
  </conditionalFormatting>
  <conditionalFormatting sqref="D21:J21">
    <cfRule type="expression" dxfId="135" priority="46" stopIfTrue="1">
      <formula>IF($D$21="",TRUE)</formula>
    </cfRule>
  </conditionalFormatting>
  <conditionalFormatting sqref="D26:E26">
    <cfRule type="expression" dxfId="134" priority="41" stopIfTrue="1">
      <formula>IF($D$26="",TRUE)</formula>
    </cfRule>
  </conditionalFormatting>
  <conditionalFormatting sqref="D27:E27">
    <cfRule type="expression" dxfId="133" priority="42" stopIfTrue="1">
      <formula>IF($D$27="",TRUE)</formula>
    </cfRule>
  </conditionalFormatting>
  <conditionalFormatting sqref="D28:E28">
    <cfRule type="expression" dxfId="132" priority="43" stopIfTrue="1">
      <formula>IF($D$28="",TRUE)</formula>
    </cfRule>
  </conditionalFormatting>
  <conditionalFormatting sqref="D29:E29">
    <cfRule type="expression" dxfId="131" priority="44" stopIfTrue="1">
      <formula>IF($D$29="",TRUE)</formula>
    </cfRule>
  </conditionalFormatting>
  <conditionalFormatting sqref="D34:E34">
    <cfRule type="expression" dxfId="130" priority="39" stopIfTrue="1">
      <formula>$P$28=""</formula>
    </cfRule>
  </conditionalFormatting>
  <conditionalFormatting sqref="D33:E33">
    <cfRule type="expression" dxfId="129" priority="37" stopIfTrue="1">
      <formula>IF(AND(OR($D$27="Yes",$D$27=""),$D$33=""),1,0)</formula>
    </cfRule>
    <cfRule type="expression" dxfId="128" priority="38" stopIfTrue="1">
      <formula>$P$27=""</formula>
    </cfRule>
  </conditionalFormatting>
  <conditionalFormatting sqref="D34:E34">
    <cfRule type="expression" dxfId="127" priority="40" stopIfTrue="1">
      <formula>IF(AND(OR($D$28="Yes",$D$28=""),$D$34=""),1,0)</formula>
    </cfRule>
  </conditionalFormatting>
  <conditionalFormatting sqref="D40:E40">
    <cfRule type="expression" dxfId="126" priority="32" stopIfTrue="1">
      <formula>$P$28=""</formula>
    </cfRule>
  </conditionalFormatting>
  <conditionalFormatting sqref="D39:E39">
    <cfRule type="expression" dxfId="125" priority="33" stopIfTrue="1">
      <formula>$P$33=""</formula>
    </cfRule>
  </conditionalFormatting>
  <conditionalFormatting sqref="D40">
    <cfRule type="expression" dxfId="124" priority="31" stopIfTrue="1">
      <formula>$P$34=""</formula>
    </cfRule>
    <cfRule type="expression" dxfId="123" priority="36" stopIfTrue="1">
      <formula>IF(AND(OR($D$28="Yes",$D$28=""),D40=""),1,0)</formula>
    </cfRule>
  </conditionalFormatting>
  <conditionalFormatting sqref="D39:E39">
    <cfRule type="expression" dxfId="122" priority="34" stopIfTrue="1">
      <formula>$P$39=""</formula>
    </cfRule>
    <cfRule type="expression" dxfId="121" priority="35" stopIfTrue="1">
      <formula>IF(AND(OR($D$27="Yes",$D$27=""),D39=""),1,0)</formula>
    </cfRule>
  </conditionalFormatting>
  <conditionalFormatting sqref="D46:E46">
    <cfRule type="expression" dxfId="120" priority="26" stopIfTrue="1">
      <formula>$P$28=""</formula>
    </cfRule>
  </conditionalFormatting>
  <conditionalFormatting sqref="D45">
    <cfRule type="expression" dxfId="119" priority="27" stopIfTrue="1">
      <formula>$P$33=""</formula>
    </cfRule>
  </conditionalFormatting>
  <conditionalFormatting sqref="D46">
    <cfRule type="expression" dxfId="118" priority="25" stopIfTrue="1">
      <formula>$P$34=""</formula>
    </cfRule>
    <cfRule type="expression" dxfId="117" priority="30" stopIfTrue="1">
      <formula>IF(AND(OR($D$28="Yes",$D$28=""),D46=""),1,0)</formula>
    </cfRule>
  </conditionalFormatting>
  <conditionalFormatting sqref="D45:E45">
    <cfRule type="expression" dxfId="116" priority="28" stopIfTrue="1">
      <formula>$P$39=""</formula>
    </cfRule>
    <cfRule type="expression" dxfId="115" priority="29" stopIfTrue="1">
      <formula>IF(AND(OR($D$27="Yes",$D$27=""),D45=""),1,0)</formula>
    </cfRule>
  </conditionalFormatting>
  <conditionalFormatting sqref="D52:E52">
    <cfRule type="expression" dxfId="114" priority="20" stopIfTrue="1">
      <formula>$P$28=""</formula>
    </cfRule>
  </conditionalFormatting>
  <conditionalFormatting sqref="D51">
    <cfRule type="expression" dxfId="113" priority="21" stopIfTrue="1">
      <formula>$P$33=""</formula>
    </cfRule>
  </conditionalFormatting>
  <conditionalFormatting sqref="D52">
    <cfRule type="expression" dxfId="112" priority="19" stopIfTrue="1">
      <formula>$P$34=""</formula>
    </cfRule>
    <cfRule type="expression" dxfId="111" priority="24" stopIfTrue="1">
      <formula>IF(AND(OR($D$28="Yes",$D$28=""),D52=""),1,0)</formula>
    </cfRule>
  </conditionalFormatting>
  <conditionalFormatting sqref="D51:E51">
    <cfRule type="expression" dxfId="110" priority="22" stopIfTrue="1">
      <formula>$P$39=""</formula>
    </cfRule>
    <cfRule type="expression" dxfId="109" priority="23" stopIfTrue="1">
      <formula>IF(AND(OR($D$27="Yes",$D$27=""),D51=""),1,0)</formula>
    </cfRule>
  </conditionalFormatting>
  <conditionalFormatting sqref="D58:E58">
    <cfRule type="expression" dxfId="108" priority="14" stopIfTrue="1">
      <formula>$P$28=""</formula>
    </cfRule>
  </conditionalFormatting>
  <conditionalFormatting sqref="D57">
    <cfRule type="expression" dxfId="107" priority="15" stopIfTrue="1">
      <formula>$P$33=""</formula>
    </cfRule>
  </conditionalFormatting>
  <conditionalFormatting sqref="D58">
    <cfRule type="expression" dxfId="106" priority="13" stopIfTrue="1">
      <formula>$P$34=""</formula>
    </cfRule>
    <cfRule type="expression" dxfId="105" priority="18" stopIfTrue="1">
      <formula>IF(AND(OR($D$28="Yes",$D$28=""),D58=""),1,0)</formula>
    </cfRule>
  </conditionalFormatting>
  <conditionalFormatting sqref="D57:E57">
    <cfRule type="expression" dxfId="104" priority="16" stopIfTrue="1">
      <formula>$P$39=""</formula>
    </cfRule>
    <cfRule type="expression" dxfId="103" priority="17" stopIfTrue="1">
      <formula>IF(AND(OR($D$27="Yes",$D$27=""),D57=""),1,0)</formula>
    </cfRule>
  </conditionalFormatting>
  <conditionalFormatting sqref="D64:E64">
    <cfRule type="expression" dxfId="102" priority="8" stopIfTrue="1">
      <formula>$P$28=""</formula>
    </cfRule>
  </conditionalFormatting>
  <conditionalFormatting sqref="D63">
    <cfRule type="expression" dxfId="101" priority="9" stopIfTrue="1">
      <formula>$P$33=""</formula>
    </cfRule>
  </conditionalFormatting>
  <conditionalFormatting sqref="D64">
    <cfRule type="expression" dxfId="100" priority="7" stopIfTrue="1">
      <formula>$P$34=""</formula>
    </cfRule>
    <cfRule type="expression" dxfId="99" priority="12" stopIfTrue="1">
      <formula>IF(AND(OR($D$28="Yes",$D$28=""),D64=""),1,0)</formula>
    </cfRule>
  </conditionalFormatting>
  <conditionalFormatting sqref="D63:E63">
    <cfRule type="expression" dxfId="98" priority="10" stopIfTrue="1">
      <formula>$P$39=""</formula>
    </cfRule>
    <cfRule type="expression" dxfId="97" priority="11" stopIfTrue="1">
      <formula>IF(AND(OR($D$27="Yes",$D$27=""),D63=""),1,0)</formula>
    </cfRule>
  </conditionalFormatting>
  <conditionalFormatting sqref="D70:E70">
    <cfRule type="expression" dxfId="96" priority="2" stopIfTrue="1">
      <formula>$P$28=""</formula>
    </cfRule>
  </conditionalFormatting>
  <conditionalFormatting sqref="D69">
    <cfRule type="expression" dxfId="95" priority="3" stopIfTrue="1">
      <formula>$P$33=""</formula>
    </cfRule>
  </conditionalFormatting>
  <conditionalFormatting sqref="D70">
    <cfRule type="expression" dxfId="94" priority="1" stopIfTrue="1">
      <formula>$P$34=""</formula>
    </cfRule>
    <cfRule type="expression" dxfId="93" priority="6" stopIfTrue="1">
      <formula>IF(AND(OR($D$28="Yes",$D$28=""),D70=""),1,0)</formula>
    </cfRule>
  </conditionalFormatting>
  <conditionalFormatting sqref="D69:E69">
    <cfRule type="expression" dxfId="92" priority="4" stopIfTrue="1">
      <formula>$P$39=""</formula>
    </cfRule>
    <cfRule type="expression" dxfId="91" priority="5" stopIfTrue="1">
      <formula>IF(AND(OR($D$27="Yes",$D$27=""),D69=""),1,0)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00000000-0004-0000-0300-000004000000}"/>
    <hyperlink ref="D16"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0" activePane="bottomLeft" state="frozen"/>
      <selection pane="bottomLeft" activeCell="A5" sqref="A5:XFD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724</v>
      </c>
      <c r="B5" s="217" t="s">
        <v>1153</v>
      </c>
      <c r="C5" s="221" t="s">
        <v>1252</v>
      </c>
      <c r="D5" s="283"/>
      <c r="E5" s="217" t="s">
        <v>2576</v>
      </c>
      <c r="F5" s="217" t="s">
        <v>724</v>
      </c>
      <c r="G5" s="217" t="s">
        <v>13577</v>
      </c>
      <c r="H5" s="218">
        <v>0</v>
      </c>
      <c r="I5" s="219" t="s">
        <v>1654</v>
      </c>
      <c r="J5" s="219" t="s">
        <v>1655</v>
      </c>
      <c r="K5" s="273"/>
      <c r="L5" s="273"/>
      <c r="M5" s="273"/>
      <c r="N5" s="273"/>
      <c r="O5" s="273"/>
      <c r="P5" s="220"/>
      <c r="Q5" s="274"/>
      <c r="R5" s="217" t="str">
        <f ca="1">IF(ISERROR($V5),"",OFFSET('Smelter Look-up'!$C$4,$V5-4,0)&amp;"")</f>
        <v>Metalor USA Refining Corporation</v>
      </c>
      <c r="S5" s="225" t="str">
        <f t="shared" ref="S5" ca="1" si="0">IF(B5="","",IF(ISERROR(MATCH($E5,CL,0)),"Unknown",INDIRECT("'C'!$A$"&amp;MATCH($E5,CL,0)+1)))</f>
        <v>US</v>
      </c>
      <c r="T5" s="225" t="str">
        <f ca="1">IF(B5="","",IF(ISERROR(MATCH($J5,SorP!$B$1:$B$6230,0)),"",INDIRECT("'SorP'!$A$"&amp;MATCH($J5,SorP!$B$1:$B$6230,0))))</f>
        <v>US-MA</v>
      </c>
      <c r="U5" s="241"/>
      <c r="V5" s="275">
        <f>IF(C5="",NA(),MATCH($B5&amp;$C5,'Smelter Look-up'!$J:$J,0))</f>
        <v>159</v>
      </c>
      <c r="W5" s="276"/>
      <c r="X5" s="276">
        <f t="shared" ref="X5" si="1">IF(AND(C5="Smelter not listed",OR(LEN(D5)=0,LEN(E5)=0)),1,0)</f>
        <v>0</v>
      </c>
      <c r="Y5" s="276"/>
      <c r="Z5" s="276"/>
      <c r="AB5" s="278" t="str">
        <f t="shared" ref="AB5" si="2">B5&amp;C5</f>
        <v>GoldMetalor USA Refining Corporation</v>
      </c>
    </row>
    <row r="6" spans="1:34" s="277" customFormat="1" ht="20.100000000000001" customHeight="1">
      <c r="A6" s="332" t="s">
        <v>740</v>
      </c>
      <c r="B6" s="217" t="s">
        <v>1153</v>
      </c>
      <c r="C6" s="221" t="s">
        <v>936</v>
      </c>
      <c r="D6" s="283"/>
      <c r="E6" s="217" t="s">
        <v>1120</v>
      </c>
      <c r="F6" s="217" t="s">
        <v>740</v>
      </c>
      <c r="G6" s="217" t="s">
        <v>13577</v>
      </c>
      <c r="H6" s="218">
        <v>0</v>
      </c>
      <c r="I6" s="219" t="s">
        <v>1677</v>
      </c>
      <c r="J6" s="219" t="s">
        <v>1633</v>
      </c>
      <c r="K6" s="273"/>
      <c r="L6" s="273"/>
      <c r="M6" s="273"/>
      <c r="N6" s="273"/>
      <c r="O6" s="273"/>
      <c r="P6" s="220"/>
      <c r="Q6" s="274"/>
      <c r="R6" s="217" t="str">
        <f ca="1">IF(ISERROR($V6),"",OFFSET('Smelter Look-up'!$C$4,$V6-4,0)&amp;"")</f>
        <v>Royal Canadian Mint</v>
      </c>
      <c r="S6" s="225" t="str">
        <f t="shared" ref="S6:S37" ca="1" si="3">IF(B6="","",IF(ISERROR(MATCH($E6,CL,0)),"Unknown",INDIRECT("'C'!$A$"&amp;MATCH($E6,CL,0)+1)))</f>
        <v>CA</v>
      </c>
      <c r="T6" s="225" t="str">
        <f ca="1">IF(B6="","",IF(ISERROR(MATCH($J6,SorP!$B$1:$B$6230,0)),"",INDIRECT("'SorP'!$A$"&amp;MATCH($J6,SorP!$B$1:$B$6230,0))))</f>
        <v>CA-ON</v>
      </c>
      <c r="U6" s="241"/>
      <c r="V6" s="275">
        <f>IF(C6="",NA(),MATCH($B6&amp;$C6,'Smelter Look-up'!$J:$J,0))</f>
        <v>202</v>
      </c>
      <c r="W6" s="276"/>
      <c r="X6" s="276">
        <f t="shared" ref="X6:X37" si="4">IF(AND(C6="Smelter not listed",OR(LEN(D6)=0,LEN(E6)=0)),1,0)</f>
        <v>0</v>
      </c>
      <c r="Y6" s="276"/>
      <c r="Z6" s="276"/>
      <c r="AB6" s="278" t="str">
        <f t="shared" ref="AB6:AB37" si="5">B6&amp;C6</f>
        <v>GoldRoyal Canadian Mint</v>
      </c>
    </row>
    <row r="7" spans="1:34" s="277" customFormat="1" ht="20.100000000000001" customHeight="1">
      <c r="A7" s="332" t="s">
        <v>725</v>
      </c>
      <c r="B7" s="217" t="s">
        <v>1153</v>
      </c>
      <c r="C7" s="221" t="s">
        <v>12756</v>
      </c>
      <c r="D7" s="283"/>
      <c r="E7" s="217" t="s">
        <v>1136</v>
      </c>
      <c r="F7" s="217" t="s">
        <v>725</v>
      </c>
      <c r="G7" s="217" t="s">
        <v>13577</v>
      </c>
      <c r="H7" s="218">
        <v>0</v>
      </c>
      <c r="I7" s="219" t="s">
        <v>1656</v>
      </c>
      <c r="J7" s="219" t="s">
        <v>13216</v>
      </c>
      <c r="K7" s="273"/>
      <c r="L7" s="273"/>
      <c r="M7" s="273"/>
      <c r="N7" s="273"/>
      <c r="O7" s="273"/>
      <c r="P7" s="220"/>
      <c r="Q7" s="274"/>
      <c r="R7" s="217" t="str">
        <f ca="1">IF(ISERROR($V7),"",OFFSET('Smelter Look-up'!$C$4,$V7-4,0)&amp;"")</f>
        <v>Metalurgica Met-Mex Penoles S.A. De C.V.</v>
      </c>
      <c r="S7" s="225" t="str">
        <f t="shared" ca="1" si="3"/>
        <v>MX</v>
      </c>
      <c r="T7" s="225" t="str">
        <f ca="1">IF(B7="","",IF(ISERROR(MATCH($J7,SorP!$B$1:$B$6230,0)),"",INDIRECT("'SorP'!$A$"&amp;MATCH($J7,SorP!$B$1:$B$6230,0))))</f>
        <v>MX-COA</v>
      </c>
      <c r="U7" s="241"/>
      <c r="V7" s="275">
        <f>IF(C7="",NA(),MATCH($B7&amp;$C7,'Smelter Look-up'!$J:$J,0))</f>
        <v>160</v>
      </c>
      <c r="W7" s="276"/>
      <c r="X7" s="276">
        <f t="shared" si="4"/>
        <v>0</v>
      </c>
      <c r="Y7" s="276"/>
      <c r="Z7" s="276"/>
      <c r="AB7" s="278" t="str">
        <f t="shared" si="5"/>
        <v>GoldMetalurgica Met-Mex Penoles S.A. De C.V.</v>
      </c>
    </row>
    <row r="8" spans="1:34" s="277" customFormat="1" ht="20.100000000000001" customHeight="1">
      <c r="A8" s="332" t="s">
        <v>696</v>
      </c>
      <c r="B8" s="217" t="s">
        <v>1153</v>
      </c>
      <c r="C8" s="221" t="s">
        <v>1250</v>
      </c>
      <c r="D8" s="283"/>
      <c r="E8" s="217" t="s">
        <v>1124</v>
      </c>
      <c r="F8" s="217" t="s">
        <v>696</v>
      </c>
      <c r="G8" s="217" t="s">
        <v>13577</v>
      </c>
      <c r="H8" s="218">
        <v>0</v>
      </c>
      <c r="I8" s="219" t="s">
        <v>1619</v>
      </c>
      <c r="J8" s="219" t="s">
        <v>4397</v>
      </c>
      <c r="K8" s="273"/>
      <c r="L8" s="273"/>
      <c r="M8" s="273"/>
      <c r="N8" s="273"/>
      <c r="O8" s="273"/>
      <c r="P8" s="220"/>
      <c r="Q8" s="274"/>
      <c r="R8" s="217" t="str">
        <f ca="1">IF(ISERROR($V8),"",OFFSET('Smelter Look-up'!$C$4,$V8-4,0)&amp;"")</f>
        <v>Heraeus Precious Metals GmbH &amp; Co. KG</v>
      </c>
      <c r="S8" s="225" t="str">
        <f t="shared" ca="1" si="3"/>
        <v>DE</v>
      </c>
      <c r="T8" s="225" t="str">
        <f ca="1">IF(B8="","",IF(ISERROR(MATCH($J8,SorP!$B$1:$B$6230,0)),"",INDIRECT("'SorP'!$A$"&amp;MATCH($J8,SorP!$B$1:$B$6230,0))))</f>
        <v>DE-HE</v>
      </c>
      <c r="U8" s="241"/>
      <c r="V8" s="275">
        <f>IF(C8="",NA(),MATCH($B8&amp;$C8,'Smelter Look-up'!$J:$J,0))</f>
        <v>98</v>
      </c>
      <c r="W8" s="276"/>
      <c r="X8" s="276">
        <f t="shared" si="4"/>
        <v>0</v>
      </c>
      <c r="Y8" s="276"/>
      <c r="Z8" s="276"/>
      <c r="AB8" s="278" t="str">
        <f t="shared" si="5"/>
        <v>GoldHeraeus Precious Metals GmbH &amp; Co. KG</v>
      </c>
    </row>
    <row r="9" spans="1:34" s="277" customFormat="1" ht="20.100000000000001" customHeight="1">
      <c r="A9" s="332" t="s">
        <v>705</v>
      </c>
      <c r="B9" s="217" t="s">
        <v>1153</v>
      </c>
      <c r="C9" s="221" t="s">
        <v>2411</v>
      </c>
      <c r="D9" s="283"/>
      <c r="E9" s="217" t="s">
        <v>1120</v>
      </c>
      <c r="F9" s="217" t="s">
        <v>705</v>
      </c>
      <c r="G9" s="217" t="s">
        <v>13577</v>
      </c>
      <c r="H9" s="218">
        <v>0</v>
      </c>
      <c r="I9" s="219" t="s">
        <v>1632</v>
      </c>
      <c r="J9" s="219" t="s">
        <v>1633</v>
      </c>
      <c r="K9" s="273"/>
      <c r="L9" s="273"/>
      <c r="M9" s="273"/>
      <c r="N9" s="273"/>
      <c r="O9" s="273"/>
      <c r="P9" s="220"/>
      <c r="Q9" s="274"/>
      <c r="R9" s="217" t="str">
        <f ca="1">IF(ISERROR($V9),"",OFFSET('Smelter Look-up'!$C$4,$V9-4,0)&amp;"")</f>
        <v>Asahi Refining Canada Ltd.</v>
      </c>
      <c r="S9" s="225" t="str">
        <f t="shared" ca="1" si="3"/>
        <v>CA</v>
      </c>
      <c r="T9" s="225" t="str">
        <f ca="1">IF(B9="","",IF(ISERROR(MATCH($J9,SorP!$B$1:$B$6230,0)),"",INDIRECT("'SorP'!$A$"&amp;MATCH($J9,SorP!$B$1:$B$6230,0))))</f>
        <v>CA-ON</v>
      </c>
      <c r="U9" s="241"/>
      <c r="V9" s="275">
        <f>IF(C9="",NA(),MATCH($B9&amp;$C9,'Smelter Look-up'!$J:$J,0))</f>
        <v>25</v>
      </c>
      <c r="W9" s="276"/>
      <c r="X9" s="276">
        <f t="shared" si="4"/>
        <v>0</v>
      </c>
      <c r="Y9" s="276"/>
      <c r="Z9" s="276"/>
      <c r="AB9" s="278" t="str">
        <f t="shared" si="5"/>
        <v>GoldAsahi Refining Canada Ltd.</v>
      </c>
    </row>
    <row r="10" spans="1:34" s="277" customFormat="1" ht="20.100000000000001" customHeight="1">
      <c r="A10" s="332" t="s">
        <v>754</v>
      </c>
      <c r="B10" s="217" t="s">
        <v>1153</v>
      </c>
      <c r="C10" s="221" t="s">
        <v>2270</v>
      </c>
      <c r="D10" s="283"/>
      <c r="E10" s="217" t="s">
        <v>1119</v>
      </c>
      <c r="F10" s="217" t="s">
        <v>754</v>
      </c>
      <c r="G10" s="217" t="s">
        <v>13577</v>
      </c>
      <c r="H10" s="218">
        <v>0</v>
      </c>
      <c r="I10" s="219" t="s">
        <v>1707</v>
      </c>
      <c r="J10" s="219" t="s">
        <v>1708</v>
      </c>
      <c r="K10" s="273"/>
      <c r="L10" s="273"/>
      <c r="M10" s="273"/>
      <c r="N10" s="273"/>
      <c r="O10" s="273"/>
      <c r="P10" s="220"/>
      <c r="Q10" s="274"/>
      <c r="R10" s="217" t="str">
        <f ca="1">IF(ISERROR($V10),"",OFFSET('Smelter Look-up'!$C$4,$V10-4,0)&amp;"")</f>
        <v>Umicore Brasil Ltda.</v>
      </c>
      <c r="S10" s="225" t="str">
        <f t="shared" ca="1" si="3"/>
        <v>BR</v>
      </c>
      <c r="T10" s="225" t="str">
        <f ca="1">IF(B10="","",IF(ISERROR(MATCH($J10,SorP!$B$1:$B$6230,0)),"",INDIRECT("'SorP'!$A$"&amp;MATCH($J10,SorP!$B$1:$B$6230,0))))</f>
        <v>BR-SP</v>
      </c>
      <c r="U10" s="241"/>
      <c r="V10" s="275">
        <f>IF(C10="",NA(),MATCH($B10&amp;$C10,'Smelter Look-up'!$J:$J,0))</f>
        <v>264</v>
      </c>
      <c r="W10" s="276"/>
      <c r="X10" s="276">
        <f t="shared" si="4"/>
        <v>0</v>
      </c>
      <c r="Y10" s="276"/>
      <c r="Z10" s="276"/>
      <c r="AB10" s="278" t="str">
        <f t="shared" si="5"/>
        <v>GoldUmicore Brasil Ltda.</v>
      </c>
    </row>
    <row r="11" spans="1:34" s="277" customFormat="1" ht="20.100000000000001" customHeight="1">
      <c r="A11" s="332" t="s">
        <v>711</v>
      </c>
      <c r="B11" s="217" t="s">
        <v>1153</v>
      </c>
      <c r="C11" s="221" t="s">
        <v>710</v>
      </c>
      <c r="D11" s="283"/>
      <c r="E11" s="217" t="s">
        <v>2576</v>
      </c>
      <c r="F11" s="217" t="s">
        <v>711</v>
      </c>
      <c r="G11" s="217" t="s">
        <v>13577</v>
      </c>
      <c r="H11" s="218">
        <v>0</v>
      </c>
      <c r="I11" s="219" t="s">
        <v>1637</v>
      </c>
      <c r="J11" s="219" t="s">
        <v>1630</v>
      </c>
      <c r="K11" s="273"/>
      <c r="L11" s="273"/>
      <c r="M11" s="273"/>
      <c r="N11" s="273"/>
      <c r="O11" s="273"/>
      <c r="P11" s="220"/>
      <c r="Q11" s="274"/>
      <c r="R11" s="217" t="str">
        <f ca="1">IF(ISERROR($V11),"",OFFSET('Smelter Look-up'!$C$4,$V11-4,0)&amp;"")</f>
        <v>Kennecott Utah Copper LLC</v>
      </c>
      <c r="S11" s="225" t="str">
        <f t="shared" ca="1" si="3"/>
        <v>US</v>
      </c>
      <c r="T11" s="225" t="str">
        <f ca="1">IF(B11="","",IF(ISERROR(MATCH($J11,SorP!$B$1:$B$6230,0)),"",INDIRECT("'SorP'!$A$"&amp;MATCH($J11,SorP!$B$1:$B$6230,0))))</f>
        <v>US-UT</v>
      </c>
      <c r="U11" s="241"/>
      <c r="V11" s="275">
        <f>IF(C11="",NA(),MATCH($B11&amp;$C11,'Smelter Look-up'!$J:$J,0))</f>
        <v>124</v>
      </c>
      <c r="W11" s="276"/>
      <c r="X11" s="276">
        <f t="shared" si="4"/>
        <v>0</v>
      </c>
      <c r="Y11" s="276"/>
      <c r="Z11" s="276"/>
      <c r="AB11" s="278" t="str">
        <f t="shared" si="5"/>
        <v>GoldKennecott Utah Copper LLC</v>
      </c>
    </row>
    <row r="12" spans="1:34" s="277" customFormat="1" ht="20.100000000000001" customHeight="1">
      <c r="A12" s="332" t="s">
        <v>793</v>
      </c>
      <c r="B12" s="217" t="s">
        <v>1154</v>
      </c>
      <c r="C12" s="221" t="s">
        <v>12757</v>
      </c>
      <c r="D12" s="283"/>
      <c r="E12" s="217" t="s">
        <v>1119</v>
      </c>
      <c r="F12" s="217" t="s">
        <v>793</v>
      </c>
      <c r="G12" s="217" t="s">
        <v>13577</v>
      </c>
      <c r="H12" s="218">
        <v>0</v>
      </c>
      <c r="I12" s="219" t="s">
        <v>1822</v>
      </c>
      <c r="J12" s="219" t="s">
        <v>1708</v>
      </c>
      <c r="K12" s="273"/>
      <c r="L12" s="273"/>
      <c r="M12" s="273"/>
      <c r="N12" s="273"/>
      <c r="O12" s="273"/>
      <c r="P12" s="220"/>
      <c r="Q12" s="274"/>
      <c r="R12" s="217" t="str">
        <f ca="1">IF(ISERROR($V12),"",OFFSET('Smelter Look-up'!$C$4,$V12-4,0)&amp;"")</f>
        <v>Mineracao Taboca S.A.</v>
      </c>
      <c r="S12" s="225" t="str">
        <f t="shared" ca="1" si="3"/>
        <v>BR</v>
      </c>
      <c r="T12" s="225" t="str">
        <f ca="1">IF(B12="","",IF(ISERROR(MATCH($J12,SorP!$B$1:$B$6230,0)),"",INDIRECT("'SorP'!$A$"&amp;MATCH($J12,SorP!$B$1:$B$6230,0))))</f>
        <v>BR-SP</v>
      </c>
      <c r="U12" s="241"/>
      <c r="V12" s="275">
        <f>IF(C12="",NA(),MATCH($B12&amp;$C12,'Smelter Look-up'!$J:$J,0))</f>
        <v>421</v>
      </c>
      <c r="W12" s="276"/>
      <c r="X12" s="276">
        <f t="shared" si="4"/>
        <v>0</v>
      </c>
      <c r="Y12" s="276"/>
      <c r="Z12" s="276"/>
      <c r="AB12" s="278" t="str">
        <f t="shared" si="5"/>
        <v>TinMineracao Taboca S.A.</v>
      </c>
    </row>
    <row r="13" spans="1:34" s="277" customFormat="1" ht="20.100000000000001" customHeight="1">
      <c r="A13" s="332" t="s">
        <v>824</v>
      </c>
      <c r="B13" s="217" t="s">
        <v>1154</v>
      </c>
      <c r="C13" s="221" t="s">
        <v>14152</v>
      </c>
      <c r="D13" s="283"/>
      <c r="E13" s="217" t="s">
        <v>1128</v>
      </c>
      <c r="F13" s="217" t="s">
        <v>824</v>
      </c>
      <c r="G13" s="217" t="s">
        <v>13577</v>
      </c>
      <c r="H13" s="218">
        <v>0</v>
      </c>
      <c r="I13" s="219" t="s">
        <v>1832</v>
      </c>
      <c r="J13" s="219" t="s">
        <v>6250</v>
      </c>
      <c r="K13" s="273"/>
      <c r="L13" s="273"/>
      <c r="M13" s="273"/>
      <c r="N13" s="273"/>
      <c r="O13" s="273"/>
      <c r="P13" s="220"/>
      <c r="Q13" s="274"/>
      <c r="R13" s="217" t="str">
        <f ca="1">IF(ISERROR($V13),"",OFFSET('Smelter Look-up'!$C$4,$V13-4,0)&amp;"")</f>
        <v>PT Timah Tbk Kundur</v>
      </c>
      <c r="S13" s="225" t="str">
        <f t="shared" ca="1" si="3"/>
        <v>ID</v>
      </c>
      <c r="T13" s="225" t="str">
        <f ca="1">IF(B13="","",IF(ISERROR(MATCH($J13,SorP!$B$1:$B$6230,0)),"",INDIRECT("'SorP'!$A$"&amp;MATCH($J13,SorP!$B$1:$B$6230,0))))</f>
        <v>ID-RI</v>
      </c>
      <c r="U13" s="241"/>
      <c r="V13" s="275">
        <f>IF(C13="",NA(),MATCH($B13&amp;$C13,'Smelter Look-up'!$J:$J,0))</f>
        <v>445</v>
      </c>
      <c r="W13" s="276"/>
      <c r="X13" s="276">
        <f t="shared" si="4"/>
        <v>0</v>
      </c>
      <c r="Y13" s="276"/>
      <c r="Z13" s="276"/>
      <c r="AB13" s="278" t="str">
        <f t="shared" si="5"/>
        <v>TinPT Timah Tbk Kundur</v>
      </c>
    </row>
    <row r="14" spans="1:34" s="277" customFormat="1" ht="20.100000000000001" customHeight="1">
      <c r="A14" s="332" t="s">
        <v>802</v>
      </c>
      <c r="B14" s="217" t="s">
        <v>1154</v>
      </c>
      <c r="C14" s="221" t="s">
        <v>14151</v>
      </c>
      <c r="D14" s="283"/>
      <c r="E14" s="217" t="s">
        <v>1128</v>
      </c>
      <c r="F14" s="217" t="s">
        <v>802</v>
      </c>
      <c r="G14" s="217" t="s">
        <v>13577</v>
      </c>
      <c r="H14" s="218">
        <v>0</v>
      </c>
      <c r="I14" s="219" t="s">
        <v>1834</v>
      </c>
      <c r="J14" s="219" t="s">
        <v>13183</v>
      </c>
      <c r="K14" s="273"/>
      <c r="L14" s="273"/>
      <c r="M14" s="273"/>
      <c r="N14" s="273"/>
      <c r="O14" s="273"/>
      <c r="P14" s="220"/>
      <c r="Q14" s="274"/>
      <c r="R14" s="217" t="str">
        <f ca="1">IF(ISERROR($V14),"",OFFSET('Smelter Look-up'!$C$4,$V14-4,0)&amp;"")</f>
        <v>PT Timah Tbk Mentok</v>
      </c>
      <c r="S14" s="225" t="str">
        <f t="shared" ca="1" si="3"/>
        <v>ID</v>
      </c>
      <c r="T14" s="225" t="str">
        <f ca="1">IF(B14="","",IF(ISERROR(MATCH($J14,SorP!$B$1:$B$6230,0)),"",INDIRECT("'SorP'!$A$"&amp;MATCH($J14,SorP!$B$1:$B$6230,0))))</f>
        <v>ID-BB</v>
      </c>
      <c r="U14" s="241"/>
      <c r="V14" s="275">
        <f>IF(C14="",NA(),MATCH($B14&amp;$C14,'Smelter Look-up'!$J:$J,0))</f>
        <v>446</v>
      </c>
      <c r="W14" s="276"/>
      <c r="X14" s="276">
        <f t="shared" si="4"/>
        <v>0</v>
      </c>
      <c r="Y14" s="276"/>
      <c r="Z14" s="276"/>
      <c r="AB14" s="278" t="str">
        <f t="shared" si="5"/>
        <v>TinPT Timah Tbk Mentok</v>
      </c>
    </row>
    <row r="15" spans="1:34" s="277" customFormat="1" ht="20.100000000000001" customHeight="1">
      <c r="A15" s="332" t="s">
        <v>1856</v>
      </c>
      <c r="B15" s="217" t="s">
        <v>1154</v>
      </c>
      <c r="C15" s="221" t="s">
        <v>13267</v>
      </c>
      <c r="D15" s="283"/>
      <c r="E15" s="217" t="s">
        <v>1118</v>
      </c>
      <c r="F15" s="217" t="s">
        <v>1856</v>
      </c>
      <c r="G15" s="217" t="s">
        <v>13577</v>
      </c>
      <c r="H15" s="218">
        <v>0</v>
      </c>
      <c r="I15" s="219" t="s">
        <v>1857</v>
      </c>
      <c r="J15" s="219" t="s">
        <v>3305</v>
      </c>
      <c r="K15" s="273"/>
      <c r="L15" s="273"/>
      <c r="M15" s="273"/>
      <c r="N15" s="273"/>
      <c r="O15" s="273"/>
      <c r="P15" s="220"/>
      <c r="Q15" s="274"/>
      <c r="R15" s="217" t="str">
        <f ca="1">IF(ISERROR($V15),"",OFFSET('Smelter Look-up'!$C$4,$V15-4,0)&amp;"")</f>
        <v>Metallo Belgium N.V.</v>
      </c>
      <c r="S15" s="225" t="str">
        <f t="shared" ca="1" si="3"/>
        <v>BE</v>
      </c>
      <c r="T15" s="225" t="str">
        <f ca="1">IF(B15="","",IF(ISERROR(MATCH($J15,SorP!$B$1:$B$6230,0)),"",INDIRECT("'SorP'!$A$"&amp;MATCH($J15,SorP!$B$1:$B$6230,0))))</f>
        <v>BE-VAN</v>
      </c>
      <c r="U15" s="241"/>
      <c r="V15" s="275">
        <f>IF(C15="",NA(),MATCH($B15&amp;$C15,'Smelter Look-up'!$J:$J,0))</f>
        <v>419</v>
      </c>
      <c r="W15" s="276"/>
      <c r="X15" s="276">
        <f t="shared" si="4"/>
        <v>0</v>
      </c>
      <c r="Y15" s="276"/>
      <c r="Z15" s="276"/>
      <c r="AB15" s="278" t="str">
        <f t="shared" si="5"/>
        <v>TinMetallo Belgium N.V.</v>
      </c>
    </row>
    <row r="16" spans="1:34" s="277" customFormat="1" ht="20.100000000000001" customHeight="1">
      <c r="A16" s="332" t="s">
        <v>807</v>
      </c>
      <c r="B16" s="217" t="s">
        <v>1154</v>
      </c>
      <c r="C16" s="221" t="s">
        <v>2681</v>
      </c>
      <c r="D16" s="283"/>
      <c r="E16" s="217" t="s">
        <v>1119</v>
      </c>
      <c r="F16" s="217" t="s">
        <v>807</v>
      </c>
      <c r="G16" s="217" t="s">
        <v>13577</v>
      </c>
      <c r="H16" s="218">
        <v>0</v>
      </c>
      <c r="I16" s="219" t="s">
        <v>1804</v>
      </c>
      <c r="J16" s="219" t="s">
        <v>1808</v>
      </c>
      <c r="K16" s="273"/>
      <c r="L16" s="273"/>
      <c r="M16" s="273"/>
      <c r="N16" s="273"/>
      <c r="O16" s="273"/>
      <c r="P16" s="220"/>
      <c r="Q16" s="274"/>
      <c r="R16" s="217" t="str">
        <f ca="1">IF(ISERROR($V16),"",OFFSET('Smelter Look-up'!$C$4,$V16-4,0)&amp;"")</f>
        <v>White Solder Metalurgia e Mineracao Ltda.</v>
      </c>
      <c r="S16" s="225" t="str">
        <f t="shared" ca="1" si="3"/>
        <v>BR</v>
      </c>
      <c r="T16" s="225" t="str">
        <f ca="1">IF(B16="","",IF(ISERROR(MATCH($J16,SorP!$B$1:$B$6230,0)),"",INDIRECT("'SorP'!$A$"&amp;MATCH($J16,SorP!$B$1:$B$6230,0))))</f>
        <v>BR-RO</v>
      </c>
      <c r="U16" s="241"/>
      <c r="V16" s="275">
        <f>IF(C16="",NA(),MATCH($B16&amp;$C16,'Smelter Look-up'!$J:$J,0))</f>
        <v>465</v>
      </c>
      <c r="W16" s="276"/>
      <c r="X16" s="276">
        <f t="shared" si="4"/>
        <v>0</v>
      </c>
      <c r="Y16" s="276"/>
      <c r="Z16" s="276"/>
      <c r="AB16" s="278" t="str">
        <f t="shared" si="5"/>
        <v>TinWhite Solder Metalurgia e Mineracao Ltda.</v>
      </c>
    </row>
    <row r="17" spans="1:28" s="277" customFormat="1" ht="20.100000000000001" customHeight="1">
      <c r="A17" s="332" t="s">
        <v>794</v>
      </c>
      <c r="B17" s="217" t="s">
        <v>1154</v>
      </c>
      <c r="C17" s="221" t="s">
        <v>1057</v>
      </c>
      <c r="D17" s="283"/>
      <c r="E17" s="217" t="s">
        <v>903</v>
      </c>
      <c r="F17" s="217" t="s">
        <v>794</v>
      </c>
      <c r="G17" s="217" t="s">
        <v>13577</v>
      </c>
      <c r="H17" s="218">
        <v>0</v>
      </c>
      <c r="I17" s="219" t="s">
        <v>1824</v>
      </c>
      <c r="J17" s="219" t="s">
        <v>9438</v>
      </c>
      <c r="K17" s="273"/>
      <c r="L17" s="273"/>
      <c r="M17" s="273"/>
      <c r="N17" s="273"/>
      <c r="O17" s="273"/>
      <c r="P17" s="220"/>
      <c r="Q17" s="274"/>
      <c r="R17" s="217" t="str">
        <f ca="1">IF(ISERROR($V17),"",OFFSET('Smelter Look-up'!$C$4,$V17-4,0)&amp;"")</f>
        <v>Minsur</v>
      </c>
      <c r="S17" s="225" t="str">
        <f t="shared" ca="1" si="3"/>
        <v>PE</v>
      </c>
      <c r="T17" s="225" t="str">
        <f ca="1">IF(B17="","",IF(ISERROR(MATCH($J17,SorP!$B$1:$B$6230,0)),"",INDIRECT("'SorP'!$A$"&amp;MATCH($J17,SorP!$B$1:$B$6230,0))))</f>
        <v>PE-ICA</v>
      </c>
      <c r="U17" s="241"/>
      <c r="V17" s="275">
        <f>IF(C17="",NA(),MATCH($B17&amp;$C17,'Smelter Look-up'!$J:$J,0))</f>
        <v>424</v>
      </c>
      <c r="W17" s="276"/>
      <c r="X17" s="276">
        <f t="shared" si="4"/>
        <v>0</v>
      </c>
      <c r="Y17" s="276"/>
      <c r="Z17" s="276"/>
      <c r="AB17" s="278" t="str">
        <f t="shared" si="5"/>
        <v>TinMinsur</v>
      </c>
    </row>
    <row r="18" spans="1:28" s="277" customFormat="1" ht="20.100000000000001" customHeight="1">
      <c r="A18" s="348" t="s">
        <v>793</v>
      </c>
      <c r="B18" s="217" t="s">
        <v>1154</v>
      </c>
      <c r="C18" s="221" t="s">
        <v>1056</v>
      </c>
      <c r="D18" s="217"/>
      <c r="E18" s="217" t="s">
        <v>1119</v>
      </c>
      <c r="F18" s="217" t="s">
        <v>793</v>
      </c>
      <c r="G18" s="217" t="s">
        <v>15517</v>
      </c>
      <c r="H18" s="218">
        <v>0</v>
      </c>
      <c r="I18" s="219" t="s">
        <v>1822</v>
      </c>
      <c r="J18" s="219" t="s">
        <v>1708</v>
      </c>
      <c r="K18" s="273"/>
      <c r="L18" s="273"/>
      <c r="M18" s="273"/>
      <c r="N18" s="273"/>
      <c r="O18" s="273"/>
      <c r="P18" s="220"/>
      <c r="Q18" s="274"/>
      <c r="R18" s="217" t="str">
        <f ca="1">IF(ISERROR($V18),"",OFFSET('Smelter Look-up'!$C$4,$V18-4,0)&amp;"")</f>
        <v>Mineracao Taboca S.A.</v>
      </c>
      <c r="S18" s="225" t="str">
        <f t="shared" ca="1" si="3"/>
        <v>BR</v>
      </c>
      <c r="T18" s="225" t="str">
        <f ca="1">IF(B18="","",IF(ISERROR(MATCH($J18,SorP!$B$1:$B$6230,0)),"",INDIRECT("'SorP'!$A$"&amp;MATCH($J18,SorP!$B$1:$B$6230,0))))</f>
        <v>BR-SP</v>
      </c>
      <c r="U18" s="241"/>
      <c r="V18" s="275">
        <f>IF(C18="",NA(),MATCH($B18&amp;$C18,'Smelter Look-up'!$J:$J,0))</f>
        <v>422</v>
      </c>
      <c r="W18" s="276"/>
      <c r="X18" s="276">
        <f t="shared" si="4"/>
        <v>0</v>
      </c>
      <c r="Y18" s="276"/>
      <c r="Z18" s="276"/>
      <c r="AB18" s="278" t="str">
        <f t="shared" si="5"/>
        <v>TinMineração Taboca S.A.</v>
      </c>
    </row>
    <row r="19" spans="1:28" s="277" customFormat="1" ht="38.25">
      <c r="A19" s="348" t="s">
        <v>784</v>
      </c>
      <c r="B19" s="217" t="s">
        <v>1154</v>
      </c>
      <c r="C19" s="221" t="s">
        <v>865</v>
      </c>
      <c r="D19" s="217"/>
      <c r="E19" s="217" t="s">
        <v>2574</v>
      </c>
      <c r="F19" s="217" t="s">
        <v>784</v>
      </c>
      <c r="G19" s="217" t="s">
        <v>15517</v>
      </c>
      <c r="H19" s="218">
        <v>0</v>
      </c>
      <c r="I19" s="219" t="s">
        <v>1807</v>
      </c>
      <c r="J19" s="219" t="s">
        <v>1807</v>
      </c>
      <c r="K19" s="273"/>
      <c r="L19" s="273"/>
      <c r="M19" s="273"/>
      <c r="N19" s="273"/>
      <c r="O19" s="273"/>
      <c r="P19" s="220"/>
      <c r="Q19" s="274"/>
      <c r="R19" s="217" t="str">
        <f ca="1">IF(ISERROR($V19),"",OFFSET('Smelter Look-up'!$C$4,$V19-4,0)&amp;"")</f>
        <v>EM Vinto</v>
      </c>
      <c r="S19" s="225" t="str">
        <f t="shared" ca="1" si="3"/>
        <v>BO</v>
      </c>
      <c r="T19" s="225" t="str">
        <f ca="1">IF(B19="","",IF(ISERROR(MATCH($J19,SorP!$B$1:$B$6230,0)),"",INDIRECT("'SorP'!$A$"&amp;MATCH($J19,SorP!$B$1:$B$6230,0))))</f>
        <v>BO-O</v>
      </c>
      <c r="U19" s="241"/>
      <c r="V19" s="275">
        <f>IF(C19="",NA(),MATCH($B19&amp;$C19,'Smelter Look-up'!$J:$J,0))</f>
        <v>377</v>
      </c>
      <c r="W19" s="276"/>
      <c r="X19" s="276">
        <f t="shared" si="4"/>
        <v>0</v>
      </c>
      <c r="Y19" s="276"/>
      <c r="Z19" s="276"/>
      <c r="AB19" s="278" t="str">
        <f t="shared" si="5"/>
        <v>TinEM Vinto</v>
      </c>
    </row>
    <row r="20" spans="1:28" s="277" customFormat="1" ht="76.5">
      <c r="A20" s="348" t="s">
        <v>792</v>
      </c>
      <c r="B20" s="217" t="s">
        <v>1154</v>
      </c>
      <c r="C20" s="221" t="s">
        <v>844</v>
      </c>
      <c r="D20" s="217"/>
      <c r="E20" s="217" t="s">
        <v>1138</v>
      </c>
      <c r="F20" s="217" t="s">
        <v>792</v>
      </c>
      <c r="G20" s="217" t="s">
        <v>15517</v>
      </c>
      <c r="H20" s="218">
        <v>0</v>
      </c>
      <c r="I20" s="219" t="s">
        <v>1819</v>
      </c>
      <c r="J20" s="219" t="s">
        <v>8983</v>
      </c>
      <c r="K20" s="273"/>
      <c r="L20" s="273"/>
      <c r="M20" s="273"/>
      <c r="N20" s="273"/>
      <c r="O20" s="273"/>
      <c r="P20" s="220"/>
      <c r="Q20" s="274"/>
      <c r="R20" s="217" t="str">
        <f ca="1">IF(ISERROR($V20),"",OFFSET('Smelter Look-up'!$C$4,$V20-4,0)&amp;"")</f>
        <v>Malaysia Smelting Corporation (MSC)</v>
      </c>
      <c r="S20" s="225" t="str">
        <f t="shared" ca="1" si="3"/>
        <v>MY</v>
      </c>
      <c r="T20" s="225" t="str">
        <f ca="1">IF(B20="","",IF(ISERROR(MATCH($J20,SorP!$B$1:$B$6230,0)),"",INDIRECT("'SorP'!$A$"&amp;MATCH($J20,SorP!$B$1:$B$6230,0))))</f>
        <v>MY-07</v>
      </c>
      <c r="U20" s="241"/>
      <c r="V20" s="275">
        <f>IF(C20="",NA(),MATCH($B20&amp;$C20,'Smelter Look-up'!$J:$J,0))</f>
        <v>414</v>
      </c>
      <c r="W20" s="276"/>
      <c r="X20" s="276">
        <f t="shared" si="4"/>
        <v>0</v>
      </c>
      <c r="Y20" s="276"/>
      <c r="Z20" s="276"/>
      <c r="AB20" s="278" t="str">
        <f t="shared" si="5"/>
        <v>TinMalaysia Smelting Corporation (MSC)</v>
      </c>
    </row>
    <row r="21" spans="1:28" s="277" customFormat="1" ht="25.5">
      <c r="A21" s="348" t="s">
        <v>806</v>
      </c>
      <c r="B21" s="217" t="s">
        <v>1154</v>
      </c>
      <c r="C21" s="221" t="s">
        <v>1054</v>
      </c>
      <c r="D21" s="217"/>
      <c r="E21" s="217" t="s">
        <v>911</v>
      </c>
      <c r="F21" s="217" t="s">
        <v>806</v>
      </c>
      <c r="G21" s="217" t="s">
        <v>15517</v>
      </c>
      <c r="H21" s="218">
        <v>0</v>
      </c>
      <c r="I21" s="219" t="s">
        <v>1836</v>
      </c>
      <c r="J21" s="219" t="s">
        <v>1837</v>
      </c>
      <c r="K21" s="273"/>
      <c r="L21" s="273"/>
      <c r="M21" s="273"/>
      <c r="N21" s="273"/>
      <c r="O21" s="273"/>
      <c r="P21" s="220"/>
      <c r="Q21" s="274"/>
      <c r="R21" s="217" t="str">
        <f ca="1">IF(ISERROR($V21),"",OFFSET('Smelter Look-up'!$C$4,$V21-4,0)&amp;"")</f>
        <v>Thaisarco</v>
      </c>
      <c r="S21" s="225" t="str">
        <f t="shared" ca="1" si="3"/>
        <v>TH</v>
      </c>
      <c r="T21" s="225" t="str">
        <f ca="1">IF(B21="","",IF(ISERROR(MATCH($J21,SorP!$B$1:$B$6230,0)),"",INDIRECT("'SorP'!$A$"&amp;MATCH($J21,SorP!$B$1:$B$6230,0))))</f>
        <v>TH-83</v>
      </c>
      <c r="U21" s="241"/>
      <c r="V21" s="275">
        <f>IF(C21="",NA(),MATCH($B21&amp;$C21,'Smelter Look-up'!$J:$J,0))</f>
        <v>458</v>
      </c>
      <c r="W21" s="276"/>
      <c r="X21" s="276">
        <f t="shared" si="4"/>
        <v>0</v>
      </c>
      <c r="Y21" s="276"/>
      <c r="Z21" s="276"/>
      <c r="AB21" s="278" t="str">
        <f t="shared" si="5"/>
        <v>TinThaisarco</v>
      </c>
    </row>
    <row r="22" spans="1:28" s="277" customFormat="1" ht="63.75">
      <c r="A22" s="348" t="s">
        <v>824</v>
      </c>
      <c r="B22" s="217" t="s">
        <v>1154</v>
      </c>
      <c r="C22" s="221" t="s">
        <v>15518</v>
      </c>
      <c r="D22" s="217"/>
      <c r="E22" s="217" t="s">
        <v>1128</v>
      </c>
      <c r="F22" s="217" t="s">
        <v>824</v>
      </c>
      <c r="G22" s="217" t="s">
        <v>15517</v>
      </c>
      <c r="H22" s="218">
        <v>0</v>
      </c>
      <c r="I22" s="219" t="s">
        <v>1832</v>
      </c>
      <c r="J22" s="219" t="s">
        <v>6250</v>
      </c>
      <c r="K22" s="273"/>
      <c r="L22" s="273"/>
      <c r="M22" s="273"/>
      <c r="N22" s="273"/>
      <c r="O22" s="273"/>
      <c r="P22" s="220"/>
      <c r="Q22" s="274"/>
      <c r="R22" s="217" t="str">
        <f ca="1">IF(ISERROR($V22),"",OFFSET('Smelter Look-up'!$C$4,$V22-4,0)&amp;"")</f>
        <v/>
      </c>
      <c r="S22" s="225" t="str">
        <f t="shared" ca="1" si="3"/>
        <v>ID</v>
      </c>
      <c r="T22" s="225" t="str">
        <f ca="1">IF(B22="","",IF(ISERROR(MATCH($J22,SorP!$B$1:$B$6230,0)),"",INDIRECT("'SorP'!$A$"&amp;MATCH($J22,SorP!$B$1:$B$6230,0))))</f>
        <v>ID-RI</v>
      </c>
      <c r="U22" s="241"/>
      <c r="V22" s="275" t="e">
        <f>IF(C22="",NA(),MATCH($B22&amp;$C22,'Smelter Look-up'!$J:$J,0))</f>
        <v>#N/A</v>
      </c>
      <c r="W22" s="276"/>
      <c r="X22" s="276">
        <f t="shared" si="4"/>
        <v>0</v>
      </c>
      <c r="Y22" s="276"/>
      <c r="Z22" s="276"/>
      <c r="AB22" s="278" t="str">
        <f t="shared" si="5"/>
        <v>TinPT Timah (Persero) Tbk Kundur</v>
      </c>
    </row>
    <row r="23" spans="1:28" s="277" customFormat="1" ht="63.75">
      <c r="A23" s="348" t="s">
        <v>802</v>
      </c>
      <c r="B23" s="217" t="s">
        <v>1154</v>
      </c>
      <c r="C23" s="221" t="s">
        <v>15519</v>
      </c>
      <c r="D23" s="217"/>
      <c r="E23" s="217" t="s">
        <v>1128</v>
      </c>
      <c r="F23" s="217" t="s">
        <v>802</v>
      </c>
      <c r="G23" s="217" t="s">
        <v>15517</v>
      </c>
      <c r="H23" s="218">
        <v>0</v>
      </c>
      <c r="I23" s="219" t="s">
        <v>1834</v>
      </c>
      <c r="J23" s="219" t="s">
        <v>13183</v>
      </c>
      <c r="K23" s="273"/>
      <c r="L23" s="273"/>
      <c r="M23" s="273"/>
      <c r="N23" s="273"/>
      <c r="O23" s="273"/>
      <c r="P23" s="220"/>
      <c r="Q23" s="274"/>
      <c r="R23" s="217" t="str">
        <f ca="1">IF(ISERROR($V23),"",OFFSET('Smelter Look-up'!$C$4,$V23-4,0)&amp;"")</f>
        <v/>
      </c>
      <c r="S23" s="225" t="str">
        <f t="shared" ca="1" si="3"/>
        <v>ID</v>
      </c>
      <c r="T23" s="225" t="str">
        <f ca="1">IF(B23="","",IF(ISERROR(MATCH($J23,SorP!$B$1:$B$6230,0)),"",INDIRECT("'SorP'!$A$"&amp;MATCH($J23,SorP!$B$1:$B$6230,0))))</f>
        <v>ID-BB</v>
      </c>
      <c r="U23" s="241"/>
      <c r="V23" s="275" t="e">
        <f>IF(C23="",NA(),MATCH($B23&amp;$C23,'Smelter Look-up'!$J:$J,0))</f>
        <v>#N/A</v>
      </c>
      <c r="W23" s="276"/>
      <c r="X23" s="276">
        <f t="shared" si="4"/>
        <v>0</v>
      </c>
      <c r="Y23" s="276"/>
      <c r="Z23" s="276"/>
      <c r="AB23" s="278" t="str">
        <f t="shared" si="5"/>
        <v>TinPT Timah (Persero) Tbk Mentok</v>
      </c>
    </row>
    <row r="24" spans="1:28" s="277" customFormat="1" ht="51">
      <c r="A24" s="348" t="s">
        <v>1856</v>
      </c>
      <c r="B24" s="217" t="s">
        <v>1154</v>
      </c>
      <c r="C24" s="221" t="s">
        <v>13267</v>
      </c>
      <c r="D24" s="217"/>
      <c r="E24" s="217" t="s">
        <v>1118</v>
      </c>
      <c r="F24" s="217" t="s">
        <v>1856</v>
      </c>
      <c r="G24" s="217" t="s">
        <v>15517</v>
      </c>
      <c r="H24" s="218">
        <v>0</v>
      </c>
      <c r="I24" s="219" t="s">
        <v>1857</v>
      </c>
      <c r="J24" s="219" t="s">
        <v>3305</v>
      </c>
      <c r="K24" s="273"/>
      <c r="L24" s="273"/>
      <c r="M24" s="273"/>
      <c r="N24" s="273"/>
      <c r="O24" s="273"/>
      <c r="P24" s="220"/>
      <c r="Q24" s="274"/>
      <c r="R24" s="217" t="str">
        <f ca="1">IF(ISERROR($V24),"",OFFSET('Smelter Look-up'!$C$4,$V24-4,0)&amp;"")</f>
        <v>Metallo Belgium N.V.</v>
      </c>
      <c r="S24" s="225" t="str">
        <f t="shared" ca="1" si="3"/>
        <v>BE</v>
      </c>
      <c r="T24" s="225" t="str">
        <f ca="1">IF(B24="","",IF(ISERROR(MATCH($J24,SorP!$B$1:$B$6230,0)),"",INDIRECT("'SorP'!$A$"&amp;MATCH($J24,SorP!$B$1:$B$6230,0))))</f>
        <v>BE-VAN</v>
      </c>
      <c r="U24" s="241"/>
      <c r="V24" s="275">
        <f>IF(C24="",NA(),MATCH($B24&amp;$C24,'Smelter Look-up'!$J:$J,0))</f>
        <v>419</v>
      </c>
      <c r="W24" s="276"/>
      <c r="X24" s="276">
        <f t="shared" si="4"/>
        <v>0</v>
      </c>
      <c r="Y24" s="276"/>
      <c r="Z24" s="276"/>
      <c r="AB24" s="278" t="str">
        <f t="shared" si="5"/>
        <v>TinMetallo Belgium N.V.</v>
      </c>
    </row>
    <row r="25" spans="1:28" s="277" customFormat="1" ht="76.5">
      <c r="A25" s="348" t="s">
        <v>807</v>
      </c>
      <c r="B25" s="217" t="s">
        <v>1154</v>
      </c>
      <c r="C25" s="221" t="s">
        <v>2681</v>
      </c>
      <c r="D25" s="217"/>
      <c r="E25" s="217" t="s">
        <v>1119</v>
      </c>
      <c r="F25" s="217" t="s">
        <v>807</v>
      </c>
      <c r="G25" s="217" t="s">
        <v>15517</v>
      </c>
      <c r="H25" s="218">
        <v>0</v>
      </c>
      <c r="I25" s="219" t="s">
        <v>1804</v>
      </c>
      <c r="J25" s="219" t="s">
        <v>1808</v>
      </c>
      <c r="K25" s="273"/>
      <c r="L25" s="273"/>
      <c r="M25" s="273"/>
      <c r="N25" s="273"/>
      <c r="O25" s="273"/>
      <c r="P25" s="220"/>
      <c r="Q25" s="274"/>
      <c r="R25" s="217" t="str">
        <f ca="1">IF(ISERROR($V25),"",OFFSET('Smelter Look-up'!$C$4,$V25-4,0)&amp;"")</f>
        <v>White Solder Metalurgia e Mineracao Ltda.</v>
      </c>
      <c r="S25" s="225" t="str">
        <f t="shared" ca="1" si="3"/>
        <v>BR</v>
      </c>
      <c r="T25" s="225" t="str">
        <f ca="1">IF(B25="","",IF(ISERROR(MATCH($J25,SorP!$B$1:$B$6230,0)),"",INDIRECT("'SorP'!$A$"&amp;MATCH($J25,SorP!$B$1:$B$6230,0))))</f>
        <v>BR-RO</v>
      </c>
      <c r="U25" s="241"/>
      <c r="V25" s="275">
        <f>IF(C25="",NA(),MATCH($B25&amp;$C25,'Smelter Look-up'!$J:$J,0))</f>
        <v>465</v>
      </c>
      <c r="W25" s="276"/>
      <c r="X25" s="276">
        <f t="shared" si="4"/>
        <v>0</v>
      </c>
      <c r="Y25" s="276"/>
      <c r="Z25" s="276"/>
      <c r="AB25" s="278" t="str">
        <f t="shared" si="5"/>
        <v>TinWhite Solder Metalurgia e Mineracao Ltda.</v>
      </c>
    </row>
    <row r="26" spans="1:28" s="277" customFormat="1" ht="25.5">
      <c r="A26" s="216" t="s">
        <v>794</v>
      </c>
      <c r="B26" s="217" t="s">
        <v>1154</v>
      </c>
      <c r="C26" s="221" t="s">
        <v>1057</v>
      </c>
      <c r="D26" s="217"/>
      <c r="E26" s="217" t="s">
        <v>903</v>
      </c>
      <c r="F26" s="217" t="s">
        <v>794</v>
      </c>
      <c r="G26" s="217" t="s">
        <v>15517</v>
      </c>
      <c r="H26" s="218">
        <v>0</v>
      </c>
      <c r="I26" s="219" t="s">
        <v>1824</v>
      </c>
      <c r="J26" s="219" t="s">
        <v>9438</v>
      </c>
      <c r="K26" s="273"/>
      <c r="L26" s="273"/>
      <c r="M26" s="273"/>
      <c r="N26" s="273"/>
      <c r="O26" s="273"/>
      <c r="P26" s="220"/>
      <c r="Q26" s="274"/>
      <c r="R26" s="217" t="str">
        <f ca="1">IF(ISERROR($V26),"",OFFSET('Smelter Look-up'!$C$4,$V26-4,0)&amp;"")</f>
        <v>Minsur</v>
      </c>
      <c r="S26" s="225" t="str">
        <f t="shared" ca="1" si="3"/>
        <v>PE</v>
      </c>
      <c r="T26" s="225" t="str">
        <f ca="1">IF(B26="","",IF(ISERROR(MATCH($J26,SorP!$B$1:$B$6230,0)),"",INDIRECT("'SorP'!$A$"&amp;MATCH($J26,SorP!$B$1:$B$6230,0))))</f>
        <v>PE-ICA</v>
      </c>
      <c r="U26" s="241"/>
      <c r="V26" s="275">
        <f>IF(C26="",NA(),MATCH($B26&amp;$C26,'Smelter Look-up'!$J:$J,0))</f>
        <v>424</v>
      </c>
      <c r="W26" s="276"/>
      <c r="X26" s="276">
        <f t="shared" si="4"/>
        <v>0</v>
      </c>
      <c r="Y26" s="276"/>
      <c r="Z26" s="276"/>
      <c r="AB26" s="278" t="str">
        <f t="shared" si="5"/>
        <v>TinMinsur</v>
      </c>
    </row>
    <row r="27" spans="1:28" s="277" customFormat="1" ht="51">
      <c r="A27" s="216" t="s">
        <v>13521</v>
      </c>
      <c r="B27" s="217" t="s">
        <v>1154</v>
      </c>
      <c r="C27" s="221" t="s">
        <v>13520</v>
      </c>
      <c r="D27" s="217"/>
      <c r="E27" s="217" t="s">
        <v>2576</v>
      </c>
      <c r="F27" s="217" t="s">
        <v>13521</v>
      </c>
      <c r="G27" s="217" t="s">
        <v>13577</v>
      </c>
      <c r="H27" s="218">
        <v>0</v>
      </c>
      <c r="I27" s="219" t="s">
        <v>13522</v>
      </c>
      <c r="J27" s="219" t="s">
        <v>1774</v>
      </c>
      <c r="K27" s="273"/>
      <c r="L27" s="273"/>
      <c r="M27" s="273"/>
      <c r="N27" s="273"/>
      <c r="O27" s="273"/>
      <c r="P27" s="220"/>
      <c r="Q27" s="274"/>
      <c r="R27" s="217" t="str">
        <f ca="1">IF(ISERROR($V27),"",OFFSET('Smelter Look-up'!$C$4,$V27-4,0)&amp;"")</f>
        <v>Tin Technology &amp; Refining</v>
      </c>
      <c r="S27" s="225" t="str">
        <f t="shared" ca="1" si="3"/>
        <v>US</v>
      </c>
      <c r="T27" s="225" t="str">
        <f ca="1">IF(B27="","",IF(ISERROR(MATCH($J27,SorP!$B$1:$B$6230,0)),"",INDIRECT("'SorP'!$A$"&amp;MATCH($J27,SorP!$B$1:$B$6230,0))))</f>
        <v>US-PA</v>
      </c>
      <c r="U27" s="241"/>
      <c r="V27" s="275">
        <f>IF(C27="",NA(),MATCH($B27&amp;$C27,'Smelter Look-up'!$J:$J,0))</f>
        <v>461</v>
      </c>
      <c r="W27" s="276"/>
      <c r="X27" s="276">
        <f t="shared" si="4"/>
        <v>0</v>
      </c>
      <c r="Y27" s="276"/>
      <c r="Z27" s="276"/>
      <c r="AB27" s="278" t="str">
        <f t="shared" si="5"/>
        <v>TinTin Technology &amp; Refining</v>
      </c>
    </row>
    <row r="28" spans="1:28" s="277" customFormat="1" ht="31.5" customHeight="1">
      <c r="A28" s="332" t="s">
        <v>724</v>
      </c>
      <c r="B28" s="217" t="s">
        <v>1153</v>
      </c>
      <c r="C28" s="221" t="s">
        <v>1252</v>
      </c>
      <c r="D28" s="283"/>
      <c r="E28" s="217" t="s">
        <v>2576</v>
      </c>
      <c r="F28" s="217" t="s">
        <v>724</v>
      </c>
      <c r="G28" s="217" t="s">
        <v>13577</v>
      </c>
      <c r="H28" s="218" t="s">
        <v>15520</v>
      </c>
      <c r="I28" s="219" t="s">
        <v>1654</v>
      </c>
      <c r="J28" s="219" t="s">
        <v>1655</v>
      </c>
      <c r="K28" s="273" t="s">
        <v>15521</v>
      </c>
      <c r="L28" s="273" t="s">
        <v>15522</v>
      </c>
      <c r="M28" s="273" t="s">
        <v>2483</v>
      </c>
      <c r="N28" s="273" t="s">
        <v>15523</v>
      </c>
      <c r="O28" s="273" t="s">
        <v>15523</v>
      </c>
      <c r="P28" s="220" t="s">
        <v>15524</v>
      </c>
      <c r="Q28" s="274" t="s">
        <v>2483</v>
      </c>
      <c r="R28" s="217" t="str">
        <f ca="1">IF(ISERROR($V28),"",OFFSET('Smelter Look-up'!$C$4,$V28-4,0)&amp;"")</f>
        <v>Metalor USA Refining Corporation</v>
      </c>
      <c r="S28" s="225" t="str">
        <f ca="1">IF(B28="","",IF(ISERROR(MATCH($E28,CL,0)),"Unknown",INDIRECT("'C'!$A$"&amp;MATCH($E28,CL,0)+1)))</f>
        <v>US</v>
      </c>
      <c r="T28" s="225" t="str">
        <f ca="1">IF(B28="","",IF(ISERROR(MATCH($J28,SorP!$B$1:$B$6230,0)),"",INDIRECT("'SorP'!$A$"&amp;MATCH($J28,SorP!$B$1:$B$6230,0))))</f>
        <v>US-MA</v>
      </c>
      <c r="U28" s="241"/>
      <c r="V28" s="275">
        <f>IF(C28="",NA(),MATCH($B28&amp;$C28,'Smelter Look-up'!$J:$J,0))</f>
        <v>159</v>
      </c>
      <c r="W28" s="276"/>
      <c r="X28" s="276">
        <f>IF(AND(C28="Smelter not listed",OR(LEN(D28)=0,LEN(E28)=0)),1,0)</f>
        <v>0</v>
      </c>
      <c r="Y28" s="276"/>
      <c r="Z28" s="276"/>
      <c r="AB28" s="278" t="str">
        <f>B28&amp;C28</f>
        <v>GoldMetalor USA Refining Corporation</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ca="1">IF(B30="","",IF(ISERROR(MATCH($E30,CL,0)),"Unknown",INDIRECT("'C'!$A$"&amp;MATCH($E30,CL,0)+1)))</f>
        <v/>
      </c>
      <c r="T30" s="225" t="str">
        <f ca="1">IF(B30="","",IF(ISERROR(MATCH($J30,SorP!$B$1:$B$6230,0)),"",INDIRECT("'SorP'!$A$"&amp;MATCH($J30,SorP!$B$1:$B$6230,0))))</f>
        <v/>
      </c>
      <c r="U30" s="241"/>
      <c r="V30" s="275" t="e">
        <f>IF(C30="",NA(),MATCH($B30&amp;$C30,'Smelter Look-up'!$J:$J,0))</f>
        <v>#N/A</v>
      </c>
      <c r="W30" s="276"/>
      <c r="X30" s="276">
        <f ca="1">IF(AND(C30="Smelter not listed",OR(LEN(D30)=0,LEN(E30)=0)),1,0)</f>
        <v>0</v>
      </c>
      <c r="Y30" s="276"/>
      <c r="Z30" s="276"/>
      <c r="AB30" s="278" t="str">
        <f>B30&amp;C30</f>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90" priority="85" stopIfTrue="1">
      <formula>IF(B586="",TRUE)</formula>
    </cfRule>
    <cfRule type="expression" dxfId="89" priority="96" stopIfTrue="1">
      <formula>IF(AND(COUNTIF(MetalSmelter,B586&amp;C586)=0,LEN(C586)&gt;0),TRUE,FALSE)</formula>
    </cfRule>
  </conditionalFormatting>
  <conditionalFormatting sqref="D586:D2504">
    <cfRule type="expression" dxfId="88" priority="79" stopIfTrue="1">
      <formula>IF(AND(LEN($C586)&gt;0,($C586&lt;&gt;"Smelter Not Listed")),1,0)</formula>
    </cfRule>
    <cfRule type="expression" dxfId="87" priority="104" stopIfTrue="1">
      <formula>IF(AND(D586="",$C586=$X$4),TRUE)</formula>
    </cfRule>
    <cfRule type="expression" dxfId="86" priority="105" stopIfTrue="1">
      <formula>IF(FIND("!",D586),TRUE)</formula>
    </cfRule>
  </conditionalFormatting>
  <conditionalFormatting sqref="G586:G2504">
    <cfRule type="expression" dxfId="85" priority="106" stopIfTrue="1">
      <formula>IF(FIND("Enter smelter details",G586),TRUE)</formula>
    </cfRule>
  </conditionalFormatting>
  <conditionalFormatting sqref="R586:R2505 E586:E2504">
    <cfRule type="expression" dxfId="84" priority="92" stopIfTrue="1">
      <formula>IF(AND(E586="",$C586=$X$4),TRUE)</formula>
    </cfRule>
    <cfRule type="expression" dxfId="83" priority="93" stopIfTrue="1">
      <formula>IF(FIND("!",E586),TRUE)</formula>
    </cfRule>
  </conditionalFormatting>
  <conditionalFormatting sqref="F586:F2504">
    <cfRule type="expression" dxfId="82" priority="83" stopIfTrue="1">
      <formula>IF(AND(LEN($A586)&gt;0,$A586&lt;&gt;$F586),TRUE,FALSE)</formula>
    </cfRule>
  </conditionalFormatting>
  <conditionalFormatting sqref="C586:C2504">
    <cfRule type="expression" dxfId="81" priority="82" stopIfTrue="1">
      <formula>IF(AND(B586&lt;&gt;"",C586=""),TRUE)</formula>
    </cfRule>
  </conditionalFormatting>
  <conditionalFormatting sqref="B29:B585">
    <cfRule type="expression" dxfId="80" priority="61" stopIfTrue="1">
      <formula>IF(B29="",TRUE)</formula>
    </cfRule>
    <cfRule type="expression" dxfId="79" priority="64" stopIfTrue="1">
      <formula>IF(AND(COUNTIF(MetalSmelter,B29&amp;C29)=0,LEN(C29)&gt;0),TRUE,FALSE)</formula>
    </cfRule>
  </conditionalFormatting>
  <conditionalFormatting sqref="D29:D585">
    <cfRule type="expression" dxfId="78" priority="58" stopIfTrue="1">
      <formula>IF(AND(LEN($C29)&gt;0,($C29&lt;&gt;"Smelter Not Listed")),1,0)</formula>
    </cfRule>
    <cfRule type="expression" dxfId="77" priority="65" stopIfTrue="1">
      <formula>IF(AND(D29="",$C29=$X$4),TRUE)</formula>
    </cfRule>
    <cfRule type="expression" dxfId="76" priority="66" stopIfTrue="1">
      <formula>IF(FIND("!",D29),TRUE)</formula>
    </cfRule>
  </conditionalFormatting>
  <conditionalFormatting sqref="G29:G585">
    <cfRule type="expression" dxfId="75" priority="67" stopIfTrue="1">
      <formula>IF(FIND("Enter smelter details",G29),TRUE)</formula>
    </cfRule>
  </conditionalFormatting>
  <conditionalFormatting sqref="R5:R585 E29:E585">
    <cfRule type="expression" dxfId="74" priority="62" stopIfTrue="1">
      <formula>IF(AND(E5="",$C5=$X$4),TRUE)</formula>
    </cfRule>
    <cfRule type="expression" dxfId="73" priority="63" stopIfTrue="1">
      <formula>IF(FIND("!",E5),TRUE)</formula>
    </cfRule>
  </conditionalFormatting>
  <conditionalFormatting sqref="F29:F585">
    <cfRule type="expression" dxfId="72" priority="60" stopIfTrue="1">
      <formula>IF(AND(LEN($A29)&gt;0,$A29&lt;&gt;$F29),TRUE,FALSE)</formula>
    </cfRule>
  </conditionalFormatting>
  <conditionalFormatting sqref="C29:C585">
    <cfRule type="expression" dxfId="71" priority="59" stopIfTrue="1">
      <formula>IF(AND(B29&lt;&gt;"",C29=""),TRUE)</formula>
    </cfRule>
  </conditionalFormatting>
  <conditionalFormatting sqref="B5:B17">
    <cfRule type="expression" dxfId="70" priority="41" stopIfTrue="1">
      <formula>IF(B5="",TRUE)</formula>
    </cfRule>
    <cfRule type="expression" dxfId="69" priority="44" stopIfTrue="1">
      <formula>IF(AND(COUNTIF(MetalSmelter,B5&amp;C5)=0,LEN(C5)&gt;0),TRUE,FALSE)</formula>
    </cfRule>
  </conditionalFormatting>
  <conditionalFormatting sqref="D5:D17">
    <cfRule type="expression" dxfId="68" priority="38" stopIfTrue="1">
      <formula>IF(AND(LEN($C5)&gt;0,($C5&lt;&gt;"Smelter Not Listed")),1,0)</formula>
    </cfRule>
    <cfRule type="expression" dxfId="67" priority="45" stopIfTrue="1">
      <formula>IF(AND(D5="",$C5=$X$4),TRUE)</formula>
    </cfRule>
    <cfRule type="expression" dxfId="66" priority="46" stopIfTrue="1">
      <formula>IF(FIND("!",D5),TRUE)</formula>
    </cfRule>
  </conditionalFormatting>
  <conditionalFormatting sqref="G5:G17">
    <cfRule type="expression" dxfId="65" priority="47" stopIfTrue="1">
      <formula>IF(FIND("Enter smelter details",G5),TRUE)</formula>
    </cfRule>
  </conditionalFormatting>
  <conditionalFormatting sqref="E5:E17">
    <cfRule type="expression" dxfId="64" priority="42" stopIfTrue="1">
      <formula>IF(AND(E5="",$C5=$X$4),TRUE)</formula>
    </cfRule>
    <cfRule type="expression" dxfId="63" priority="43" stopIfTrue="1">
      <formula>IF(FIND("!",E5),TRUE)</formula>
    </cfRule>
  </conditionalFormatting>
  <conditionalFormatting sqref="F5:F17">
    <cfRule type="expression" dxfId="62" priority="40" stopIfTrue="1">
      <formula>IF(AND(LEN($A5)&gt;0,$A5&lt;&gt;$F5),TRUE,FALSE)</formula>
    </cfRule>
  </conditionalFormatting>
  <conditionalFormatting sqref="C5:C17">
    <cfRule type="expression" dxfId="61" priority="39" stopIfTrue="1">
      <formula>IF(AND(B5&lt;&gt;"",C5=""),TRUE)</formula>
    </cfRule>
  </conditionalFormatting>
  <conditionalFormatting sqref="B18:B26">
    <cfRule type="expression" dxfId="60" priority="31" stopIfTrue="1">
      <formula>IF(B18="",TRUE)</formula>
    </cfRule>
    <cfRule type="expression" dxfId="59" priority="34" stopIfTrue="1">
      <formula>IF(AND(COUNTIF(MetalSmelter,B18&amp;C18)=0,LEN(C18)&gt;0), TRUE, FALSE)</formula>
    </cfRule>
  </conditionalFormatting>
  <conditionalFormatting sqref="D20:D27">
    <cfRule type="expression" dxfId="58" priority="28" stopIfTrue="1">
      <formula>IF(AND(LEN($C20) &gt;0, ($C20 &lt;&gt; "Smelter Not Listed")),1,0)</formula>
    </cfRule>
    <cfRule type="expression" dxfId="57" priority="35" stopIfTrue="1">
      <formula>IF(AND(D20="",$C20=$X$4),TRUE)</formula>
    </cfRule>
    <cfRule type="expression" dxfId="56" priority="36" stopIfTrue="1">
      <formula>IF(FIND("!",D20),TRUE)</formula>
    </cfRule>
  </conditionalFormatting>
  <conditionalFormatting sqref="G20:G26">
    <cfRule type="expression" dxfId="55" priority="37" stopIfTrue="1">
      <formula>IF(FIND("Enter smelter details",G20),TRUE)</formula>
    </cfRule>
  </conditionalFormatting>
  <conditionalFormatting sqref="E20:E27">
    <cfRule type="expression" dxfId="54" priority="32" stopIfTrue="1">
      <formula>IF(AND(E20="",$C20=$X$4),TRUE)</formula>
    </cfRule>
    <cfRule type="expression" dxfId="53" priority="33" stopIfTrue="1">
      <formula>IF(FIND("!",E20),TRUE)</formula>
    </cfRule>
  </conditionalFormatting>
  <conditionalFormatting sqref="F20:F26">
    <cfRule type="expression" dxfId="52" priority="30" stopIfTrue="1">
      <formula>IF(AND(LEN($A20)&gt;0,$A20&lt;&gt;$F20),TRUE,FALSE)</formula>
    </cfRule>
  </conditionalFormatting>
  <conditionalFormatting sqref="C18:C26">
    <cfRule type="expression" dxfId="51" priority="29" stopIfTrue="1">
      <formula>IF(AND(B18&lt;&gt;"",C18=""),TRUE)</formula>
    </cfRule>
  </conditionalFormatting>
  <conditionalFormatting sqref="B27">
    <cfRule type="expression" dxfId="50" priority="25" stopIfTrue="1">
      <formula>IF(B27="",TRUE)</formula>
    </cfRule>
    <cfRule type="expression" dxfId="49" priority="26" stopIfTrue="1">
      <formula>IF(AND(COUNTIF(MetalSmelter,B27&amp;C27)=0,LEN(C27)&gt;0), TRUE, FALSE)</formula>
    </cfRule>
  </conditionalFormatting>
  <conditionalFormatting sqref="G27">
    <cfRule type="expression" dxfId="48" priority="27" stopIfTrue="1">
      <formula>IF(FIND("Enter smelter details",G27),TRUE)</formula>
    </cfRule>
  </conditionalFormatting>
  <conditionalFormatting sqref="F27">
    <cfRule type="expression" dxfId="47" priority="24" stopIfTrue="1">
      <formula>IF(AND(LEN($A27)&gt;0,$A27&lt;&gt;$F27),TRUE,FALSE)</formula>
    </cfRule>
  </conditionalFormatting>
  <conditionalFormatting sqref="C27">
    <cfRule type="expression" dxfId="46" priority="23" stopIfTrue="1">
      <formula>IF(AND(B27&lt;&gt;"",C27=""),TRUE)</formula>
    </cfRule>
  </conditionalFormatting>
  <conditionalFormatting sqref="D18">
    <cfRule type="expression" dxfId="45" priority="18" stopIfTrue="1">
      <formula>IF(AND(LEN($C18) &gt;0, ($C18 &lt;&gt; "Smelter Not Listed")),1,0)</formula>
    </cfRule>
    <cfRule type="expression" dxfId="44" priority="20" stopIfTrue="1">
      <formula>IF(AND(D18="",$C18=$X$4),TRUE)</formula>
    </cfRule>
    <cfRule type="expression" dxfId="43" priority="21" stopIfTrue="1">
      <formula>IF(FIND("!",D18),TRUE)</formula>
    </cfRule>
  </conditionalFormatting>
  <conditionalFormatting sqref="G18">
    <cfRule type="expression" dxfId="42" priority="22" stopIfTrue="1">
      <formula>IF(FIND("Enter smelter details",G18),TRUE)</formula>
    </cfRule>
  </conditionalFormatting>
  <conditionalFormatting sqref="F18">
    <cfRule type="expression" dxfId="41" priority="19" stopIfTrue="1">
      <formula>IF(AND(LEN($A18)&gt;0,$A18&lt;&gt;$F18),TRUE,FALSE)</formula>
    </cfRule>
  </conditionalFormatting>
  <conditionalFormatting sqref="D19">
    <cfRule type="expression" dxfId="40" priority="11" stopIfTrue="1">
      <formula>IF(AND(LEN($C19) &gt;0, ($C19 &lt;&gt; "Smelter Not Listed")),1,0)</formula>
    </cfRule>
    <cfRule type="expression" dxfId="39" priority="15" stopIfTrue="1">
      <formula>IF(AND(D19="",$C19=$X$4),TRUE)</formula>
    </cfRule>
    <cfRule type="expression" dxfId="38" priority="16" stopIfTrue="1">
      <formula>IF(FIND("!",D19),TRUE)</formula>
    </cfRule>
  </conditionalFormatting>
  <conditionalFormatting sqref="G19">
    <cfRule type="expression" dxfId="37" priority="17" stopIfTrue="1">
      <formula>IF(FIND("Enter smelter details",G19),TRUE)</formula>
    </cfRule>
  </conditionalFormatting>
  <conditionalFormatting sqref="E18:E19">
    <cfRule type="expression" dxfId="36" priority="13" stopIfTrue="1">
      <formula>IF(AND(E18="",$C18=$X$4),TRUE)</formula>
    </cfRule>
    <cfRule type="expression" dxfId="35" priority="14" stopIfTrue="1">
      <formula>IF(FIND("!",E18),TRUE)</formula>
    </cfRule>
  </conditionalFormatting>
  <conditionalFormatting sqref="F19">
    <cfRule type="expression" dxfId="34" priority="12" stopIfTrue="1">
      <formula>IF(AND(LEN($A19)&gt;0,$A19&lt;&gt;$F19),TRUE,FALSE)</formula>
    </cfRule>
  </conditionalFormatting>
  <conditionalFormatting sqref="B28">
    <cfRule type="expression" dxfId="33" priority="4" stopIfTrue="1">
      <formula>IF(B28="",TRUE)</formula>
    </cfRule>
    <cfRule type="expression" dxfId="32" priority="7" stopIfTrue="1">
      <formula>IF(AND(COUNTIF(MetalSmelter,B28&amp;C28)=0,LEN(C28)&gt;0),TRUE,FALSE)</formula>
    </cfRule>
  </conditionalFormatting>
  <conditionalFormatting sqref="D28">
    <cfRule type="expression" dxfId="31" priority="1" stopIfTrue="1">
      <formula>IF(AND(LEN($C28)&gt;0,($C28&lt;&gt;"Smelter Not Listed")),1,0)</formula>
    </cfRule>
    <cfRule type="expression" dxfId="30" priority="8" stopIfTrue="1">
      <formula>IF(AND(D28="",$C28=$X$4),TRUE)</formula>
    </cfRule>
    <cfRule type="expression" dxfId="29" priority="9" stopIfTrue="1">
      <formula>IF(FIND("!",D28),TRUE)</formula>
    </cfRule>
  </conditionalFormatting>
  <conditionalFormatting sqref="G28">
    <cfRule type="expression" dxfId="28" priority="10" stopIfTrue="1">
      <formula>IF(FIND("Enter smelter details",G28),TRUE)</formula>
    </cfRule>
  </conditionalFormatting>
  <conditionalFormatting sqref="E28">
    <cfRule type="expression" dxfId="27" priority="5" stopIfTrue="1">
      <formula>IF(AND(E28="",$C28=$X$4),TRUE)</formula>
    </cfRule>
    <cfRule type="expression" dxfId="26" priority="6" stopIfTrue="1">
      <formula>IF(FIND("!",E28),TRUE)</formula>
    </cfRule>
  </conditionalFormatting>
  <conditionalFormatting sqref="F28">
    <cfRule type="expression" dxfId="25" priority="3" stopIfTrue="1">
      <formula>IF(AND(LEN($A28)&gt;0,$A28&lt;&gt;$F28),TRUE,FALSE)</formula>
    </cfRule>
  </conditionalFormatting>
  <conditionalFormatting sqref="C28">
    <cfRule type="expression" dxfId="24" priority="2" stopIfTrue="1">
      <formula>IF(AND(B28&lt;&gt;"",C28=""),TRUE)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66" sqref="D6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Sierra Circuits,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materials in Printed Circuit Boards and Assemblies except for components.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Steve Arobio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stevea@protoexpress.com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408-735-7137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Steve Arobio</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stevea@protoexpress.com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44004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f>IF(AND($B$15="Yes",$B$20="Yes"),Declaration!D51,0)</f>
        <v>1</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f>IF(AND($B$16="Yes",$B$21="Yes"),Declaration!D52,0)</f>
        <v>1</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Yes</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Yes</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 protoexpress.com/content/quality.isp</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EU</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86" activePane="bottomLeft" state="frozen"/>
      <selection activeCell="A4" sqref="A4"/>
      <selection pane="bottomLeft" activeCell="F21" sqref="F20:F2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060324a1-f66f-4c36-a8ec-beadbf2f421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Yajaira Solorio</cp:lastModifiedBy>
  <cp:lastPrinted>2015-04-21T20:47:43Z</cp:lastPrinted>
  <dcterms:created xsi:type="dcterms:W3CDTF">2010-06-21T21:00:23Z</dcterms:created>
  <dcterms:modified xsi:type="dcterms:W3CDTF">2020-07-14T22:07:36Z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